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ต้นทุนต่อผลผลิต ปี 61\"/>
    </mc:Choice>
  </mc:AlternateContent>
  <xr:revisionPtr revIDLastSave="0" documentId="13_ncr:1_{3E5C0501-7FD0-4458-BFF1-60B2E04F2579}" xr6:coauthVersionLast="44" xr6:coauthVersionMax="44" xr10:uidLastSave="{00000000-0000-0000-0000-000000000000}"/>
  <bookViews>
    <workbookView minimized="1" xWindow="0" yWindow="135" windowWidth="10155" windowHeight="10440" tabRatio="814" activeTab="7" xr2:uid="{00000000-000D-0000-FFFF-FFFF00000000}"/>
  </bookViews>
  <sheets>
    <sheet name="t1" sheetId="8" r:id="rId1"/>
    <sheet name="t2" sheetId="1" r:id="rId2"/>
    <sheet name="t3" sheetId="11" r:id="rId3"/>
    <sheet name="t4" sheetId="3" r:id="rId4"/>
    <sheet name="t5" sheetId="4" r:id="rId5"/>
    <sheet name="t6" sheetId="5" r:id="rId6"/>
    <sheet name="t7" sheetId="6" r:id="rId7"/>
    <sheet name="t8" sheetId="7" r:id="rId8"/>
    <sheet name="ftes" sheetId="13" r:id="rId9"/>
    <sheet name="Sheet3" sheetId="12" r:id="rId10"/>
    <sheet name="Sheet1" sheetId="10" r:id="rId11"/>
    <sheet name="t5_1" sheetId="16" r:id="rId12"/>
    <sheet name="Sheet2" sheetId="14" r:id="rId13"/>
    <sheet name="Sheet4" sheetId="17" r:id="rId14"/>
  </sheets>
  <externalReferences>
    <externalReference r:id="rId15"/>
    <externalReference r:id="rId16"/>
  </externalReferences>
  <definedNames>
    <definedName name="_xlnm.Print_Area" localSheetId="1">'t2'!$A$1:$F$20</definedName>
    <definedName name="_xlnm.Print_Area" localSheetId="2">'t3'!$A$1:$I$405</definedName>
    <definedName name="_xlnm.Print_Area" localSheetId="3">'t4'!$A$1:$I$23</definedName>
    <definedName name="_xlnm.Print_Area" localSheetId="4">'t5'!$A$1:$I$44</definedName>
    <definedName name="_xlnm.Print_Area" localSheetId="5">'t6'!$A$1:$K$16</definedName>
    <definedName name="_xlnm.Print_Area" localSheetId="6">'t7'!$A$1:$T$39</definedName>
    <definedName name="_xlnm.Print_Area" localSheetId="7">'t8'!$A$1:$T$73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" i="6" l="1"/>
  <c r="K21" i="7" l="1"/>
  <c r="J21" i="7"/>
  <c r="K20" i="7"/>
  <c r="J20" i="7"/>
  <c r="K19" i="7"/>
  <c r="J19" i="7"/>
  <c r="K18" i="7"/>
  <c r="K17" i="7"/>
  <c r="J18" i="7"/>
  <c r="J17" i="7"/>
  <c r="K15" i="7"/>
  <c r="K14" i="7"/>
  <c r="K13" i="7"/>
  <c r="J15" i="7"/>
  <c r="J14" i="7"/>
  <c r="J13" i="7"/>
  <c r="K12" i="7"/>
  <c r="J12" i="7"/>
  <c r="K10" i="7"/>
  <c r="J10" i="7"/>
  <c r="K9" i="7"/>
  <c r="J9" i="7"/>
  <c r="K8" i="7"/>
  <c r="J8" i="7"/>
  <c r="K7" i="7"/>
  <c r="J7" i="7"/>
  <c r="K6" i="7"/>
  <c r="J6" i="7"/>
  <c r="K5" i="7"/>
  <c r="J5" i="7"/>
  <c r="L5" i="7"/>
  <c r="M5" i="7"/>
  <c r="M22" i="7" s="1"/>
  <c r="L6" i="7"/>
  <c r="M6" i="7"/>
  <c r="L7" i="7"/>
  <c r="M7" i="7"/>
  <c r="L8" i="7"/>
  <c r="M8" i="7"/>
  <c r="L9" i="7"/>
  <c r="M9" i="7"/>
  <c r="L10" i="7"/>
  <c r="M10" i="7"/>
  <c r="L12" i="7"/>
  <c r="M12" i="7"/>
  <c r="L13" i="7"/>
  <c r="M13" i="7"/>
  <c r="L14" i="7"/>
  <c r="M14" i="7"/>
  <c r="L15" i="7"/>
  <c r="M15" i="7"/>
  <c r="L17" i="7"/>
  <c r="M17" i="7"/>
  <c r="L18" i="7"/>
  <c r="M18" i="7"/>
  <c r="L22" i="7" l="1"/>
  <c r="J22" i="7"/>
  <c r="K22" i="7"/>
  <c r="N19" i="7" l="1"/>
  <c r="Q19" i="7" s="1"/>
  <c r="N5" i="7"/>
  <c r="Q5" i="7" l="1"/>
  <c r="H20" i="17"/>
  <c r="G20" i="17"/>
  <c r="H19" i="17"/>
  <c r="G19" i="17"/>
  <c r="H18" i="17"/>
  <c r="G18" i="17"/>
  <c r="E403" i="11" l="1"/>
  <c r="B387" i="11"/>
  <c r="G387" i="11"/>
  <c r="D403" i="11"/>
  <c r="G4" i="17" l="1"/>
  <c r="G390" i="11"/>
  <c r="G12" i="17" l="1"/>
  <c r="E4" i="17"/>
  <c r="B4" i="17"/>
  <c r="D4" i="17"/>
  <c r="G388" i="11"/>
  <c r="C387" i="11"/>
  <c r="N6" i="7"/>
  <c r="Q6" i="7" s="1"/>
  <c r="N7" i="7"/>
  <c r="Q7" i="7" s="1"/>
  <c r="N8" i="7"/>
  <c r="Q8" i="7" s="1"/>
  <c r="N9" i="7"/>
  <c r="Q9" i="7" s="1"/>
  <c r="N10" i="7"/>
  <c r="Q10" i="7" s="1"/>
  <c r="N12" i="7"/>
  <c r="Q12" i="7" s="1"/>
  <c r="N13" i="7"/>
  <c r="Q13" i="7" s="1"/>
  <c r="N14" i="7"/>
  <c r="Q14" i="7" s="1"/>
  <c r="N15" i="7"/>
  <c r="Q15" i="7" s="1"/>
  <c r="N17" i="7"/>
  <c r="Q17" i="7" s="1"/>
  <c r="N18" i="7"/>
  <c r="Q18" i="7" s="1"/>
  <c r="N20" i="7"/>
  <c r="Q20" i="7" s="1"/>
  <c r="N21" i="7"/>
  <c r="Q21" i="7" s="1"/>
  <c r="I7" i="13"/>
  <c r="F387" i="11" l="1"/>
  <c r="I387" i="11" s="1"/>
  <c r="C4" i="17"/>
  <c r="N22" i="7"/>
  <c r="G11" i="17"/>
  <c r="D12" i="17"/>
  <c r="E12" i="17"/>
  <c r="F4" i="17"/>
  <c r="I4" i="17" s="1"/>
  <c r="G19" i="3"/>
  <c r="H19" i="3"/>
  <c r="G20" i="3"/>
  <c r="H20" i="3"/>
  <c r="H18" i="3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4" i="6"/>
  <c r="E11" i="17" l="1"/>
  <c r="B9" i="1"/>
  <c r="C9" i="1"/>
  <c r="E5" i="1"/>
  <c r="E6" i="1"/>
  <c r="E7" i="1"/>
  <c r="E8" i="1"/>
  <c r="G18" i="3" l="1"/>
  <c r="B5" i="5"/>
  <c r="Q14" i="8"/>
  <c r="Q15" i="8"/>
  <c r="Q16" i="8"/>
  <c r="I5" i="5"/>
  <c r="G10" i="5" l="1"/>
  <c r="H10" i="5"/>
  <c r="F10" i="5"/>
  <c r="H18" i="7" l="1"/>
  <c r="D19" i="7"/>
  <c r="E19" i="7"/>
  <c r="G19" i="7"/>
  <c r="S19" i="7" s="1"/>
  <c r="H19" i="7"/>
  <c r="D20" i="7"/>
  <c r="E20" i="7"/>
  <c r="G20" i="7"/>
  <c r="S20" i="7" s="1"/>
  <c r="H20" i="7"/>
  <c r="D21" i="7"/>
  <c r="E21" i="7"/>
  <c r="G21" i="7"/>
  <c r="S21" i="7" s="1"/>
  <c r="H21" i="7"/>
  <c r="H17" i="7"/>
  <c r="H13" i="7"/>
  <c r="H14" i="7"/>
  <c r="H15" i="7"/>
  <c r="H12" i="7"/>
  <c r="H6" i="7"/>
  <c r="H7" i="7"/>
  <c r="H8" i="7"/>
  <c r="H9" i="7"/>
  <c r="H10" i="7"/>
  <c r="H5" i="7"/>
  <c r="Q20" i="6"/>
  <c r="K20" i="6"/>
  <c r="L20" i="6"/>
  <c r="M20" i="6"/>
  <c r="N20" i="6"/>
  <c r="J20" i="6"/>
  <c r="H16" i="6"/>
  <c r="H17" i="6"/>
  <c r="H18" i="6"/>
  <c r="H19" i="6"/>
  <c r="H5" i="6"/>
  <c r="H6" i="6"/>
  <c r="H7" i="6"/>
  <c r="H8" i="6"/>
  <c r="H9" i="6"/>
  <c r="H10" i="6"/>
  <c r="H11" i="6"/>
  <c r="H12" i="6"/>
  <c r="H13" i="6"/>
  <c r="H14" i="6"/>
  <c r="H15" i="6"/>
  <c r="H4" i="6"/>
  <c r="G16" i="6"/>
  <c r="S16" i="6" s="1"/>
  <c r="G17" i="6"/>
  <c r="S17" i="6" s="1"/>
  <c r="G18" i="6"/>
  <c r="S18" i="6" s="1"/>
  <c r="I6" i="5" l="1"/>
  <c r="I7" i="5"/>
  <c r="I8" i="5"/>
  <c r="I9" i="5"/>
  <c r="I10" i="5" l="1"/>
  <c r="H34" i="4" s="1"/>
  <c r="M10" i="5" s="1"/>
  <c r="B6" i="5" l="1"/>
  <c r="B7" i="5"/>
  <c r="C7" i="5"/>
  <c r="B8" i="5"/>
  <c r="C8" i="5"/>
  <c r="B9" i="5"/>
  <c r="C9" i="5"/>
  <c r="C5" i="5"/>
  <c r="M11" i="13"/>
  <c r="E7" i="5" l="1"/>
  <c r="J7" i="5" s="1"/>
  <c r="E8" i="5"/>
  <c r="J8" i="5" s="1"/>
  <c r="B10" i="5"/>
  <c r="D9" i="5" l="1"/>
  <c r="E9" i="5" s="1"/>
  <c r="B400" i="11" l="1"/>
  <c r="B401" i="11"/>
  <c r="C401" i="11"/>
  <c r="C400" i="11"/>
  <c r="C399" i="11"/>
  <c r="B399" i="11"/>
  <c r="C388" i="11"/>
  <c r="B388" i="11"/>
  <c r="C396" i="11"/>
  <c r="B396" i="11"/>
  <c r="C395" i="11"/>
  <c r="B395" i="11"/>
  <c r="C393" i="11"/>
  <c r="B393" i="11"/>
  <c r="C392" i="11"/>
  <c r="B392" i="11"/>
  <c r="C398" i="11"/>
  <c r="B398" i="11"/>
  <c r="C397" i="11"/>
  <c r="B397" i="11"/>
  <c r="C394" i="11"/>
  <c r="B394" i="11"/>
  <c r="C391" i="11"/>
  <c r="B391" i="11"/>
  <c r="B389" i="11"/>
  <c r="F389" i="11" s="1"/>
  <c r="C390" i="11"/>
  <c r="C12" i="17" s="1"/>
  <c r="B390" i="11"/>
  <c r="C389" i="11"/>
  <c r="H32" i="4"/>
  <c r="H35" i="4" s="1"/>
  <c r="G30" i="4"/>
  <c r="I30" i="4" s="1"/>
  <c r="G31" i="4"/>
  <c r="I31" i="4" s="1"/>
  <c r="G29" i="4"/>
  <c r="I29" i="4" s="1"/>
  <c r="J21" i="4"/>
  <c r="I21" i="4"/>
  <c r="G21" i="4"/>
  <c r="G22" i="4" s="1"/>
  <c r="J10" i="4"/>
  <c r="I10" i="4"/>
  <c r="I22" i="4" s="1"/>
  <c r="G10" i="4"/>
  <c r="C20" i="17" l="1"/>
  <c r="C20" i="3"/>
  <c r="J9" i="8"/>
  <c r="F388" i="11"/>
  <c r="B11" i="17"/>
  <c r="B402" i="11"/>
  <c r="C19" i="17"/>
  <c r="C19" i="3"/>
  <c r="J11" i="8"/>
  <c r="F390" i="11"/>
  <c r="I390" i="11" s="1"/>
  <c r="B12" i="17"/>
  <c r="F12" i="17" s="1"/>
  <c r="I12" i="17" s="1"/>
  <c r="C11" i="17"/>
  <c r="C402" i="11"/>
  <c r="C403" i="11" s="1"/>
  <c r="J22" i="4"/>
  <c r="G32" i="4"/>
  <c r="J10" i="8"/>
  <c r="B18" i="17"/>
  <c r="B18" i="3"/>
  <c r="B20" i="17"/>
  <c r="F20" i="17" s="1"/>
  <c r="I20" i="17" s="1"/>
  <c r="B20" i="3"/>
  <c r="F20" i="3" s="1"/>
  <c r="C18" i="17"/>
  <c r="C18" i="3"/>
  <c r="B19" i="17"/>
  <c r="B19" i="3"/>
  <c r="F19" i="3" s="1"/>
  <c r="I32" i="4"/>
  <c r="F401" i="11"/>
  <c r="I401" i="11" s="1"/>
  <c r="F394" i="11"/>
  <c r="F398" i="11"/>
  <c r="F393" i="11"/>
  <c r="F396" i="11"/>
  <c r="F391" i="11"/>
  <c r="F397" i="11"/>
  <c r="F392" i="11"/>
  <c r="F395" i="11"/>
  <c r="F400" i="11"/>
  <c r="I400" i="11" s="1"/>
  <c r="J9" i="5"/>
  <c r="C6" i="5"/>
  <c r="F399" i="11"/>
  <c r="I399" i="11" s="1"/>
  <c r="E18" i="6"/>
  <c r="F18" i="17" l="1"/>
  <c r="I18" i="17" s="1"/>
  <c r="F402" i="11"/>
  <c r="J12" i="8"/>
  <c r="F11" i="17"/>
  <c r="I11" i="17" s="1"/>
  <c r="F18" i="3"/>
  <c r="F403" i="11"/>
  <c r="I388" i="11"/>
  <c r="F19" i="17"/>
  <c r="I19" i="17" s="1"/>
  <c r="B403" i="11"/>
  <c r="E6" i="5"/>
  <c r="C10" i="5"/>
  <c r="I44" i="16"/>
  <c r="H44" i="16"/>
  <c r="G44" i="16"/>
  <c r="I43" i="16"/>
  <c r="H40" i="16"/>
  <c r="I39" i="16"/>
  <c r="I38" i="16"/>
  <c r="I37" i="16"/>
  <c r="I36" i="16"/>
  <c r="G35" i="16"/>
  <c r="I35" i="16" s="1"/>
  <c r="G34" i="16"/>
  <c r="G40" i="16" s="1"/>
  <c r="I33" i="16"/>
  <c r="I32" i="16"/>
  <c r="I31" i="16"/>
  <c r="H27" i="16"/>
  <c r="G26" i="16"/>
  <c r="G27" i="16" s="1"/>
  <c r="I27" i="16" s="1"/>
  <c r="I21" i="16"/>
  <c r="I20" i="16"/>
  <c r="I19" i="16"/>
  <c r="I18" i="16"/>
  <c r="I17" i="16"/>
  <c r="I16" i="16"/>
  <c r="H13" i="16"/>
  <c r="H28" i="16" s="1"/>
  <c r="G13" i="16"/>
  <c r="G28" i="16" s="1"/>
  <c r="I28" i="16" s="1"/>
  <c r="I12" i="16"/>
  <c r="I11" i="16"/>
  <c r="I10" i="16"/>
  <c r="I9" i="16"/>
  <c r="I8" i="16"/>
  <c r="I7" i="16"/>
  <c r="I6" i="16"/>
  <c r="H41" i="16" l="1"/>
  <c r="H45" i="16" s="1"/>
  <c r="I40" i="16"/>
  <c r="I34" i="16"/>
  <c r="J6" i="5"/>
  <c r="G41" i="16"/>
  <c r="I13" i="16"/>
  <c r="G45" i="16" l="1"/>
  <c r="I45" i="16" s="1"/>
  <c r="I41" i="16"/>
  <c r="A9" i="6" l="1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4" i="7"/>
  <c r="D4" i="6" l="1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9" i="6"/>
  <c r="A5" i="6"/>
  <c r="A6" i="6"/>
  <c r="A7" i="6"/>
  <c r="A8" i="6"/>
  <c r="A10" i="6"/>
  <c r="A11" i="6"/>
  <c r="A12" i="6"/>
  <c r="A13" i="6"/>
  <c r="A14" i="6"/>
  <c r="A15" i="6"/>
  <c r="A16" i="6"/>
  <c r="A17" i="6"/>
  <c r="A18" i="6"/>
  <c r="A19" i="6"/>
  <c r="A4" i="6"/>
  <c r="E58" i="3"/>
  <c r="E62" i="3" s="1"/>
  <c r="B5" i="14" l="1"/>
  <c r="G396" i="11"/>
  <c r="G393" i="11"/>
  <c r="G13" i="6" l="1"/>
  <c r="S13" i="6" s="1"/>
  <c r="G17" i="17"/>
  <c r="I396" i="11"/>
  <c r="G10" i="6"/>
  <c r="S10" i="6" s="1"/>
  <c r="G16" i="17"/>
  <c r="I393" i="11"/>
  <c r="G17" i="3"/>
  <c r="G16" i="3"/>
  <c r="B12" i="6"/>
  <c r="C7" i="6"/>
  <c r="C13" i="6"/>
  <c r="C10" i="6"/>
  <c r="C12" i="6"/>
  <c r="B5" i="6"/>
  <c r="C5" i="6"/>
  <c r="C9" i="6"/>
  <c r="B7" i="6"/>
  <c r="C16" i="6"/>
  <c r="C19" i="7"/>
  <c r="B6" i="6"/>
  <c r="B17" i="6"/>
  <c r="B21" i="7"/>
  <c r="B20" i="7"/>
  <c r="B18" i="6"/>
  <c r="B11" i="6"/>
  <c r="C6" i="6"/>
  <c r="C21" i="7"/>
  <c r="C17" i="6"/>
  <c r="B8" i="6"/>
  <c r="B15" i="6"/>
  <c r="C11" i="6"/>
  <c r="C15" i="6"/>
  <c r="B16" i="6"/>
  <c r="B19" i="7"/>
  <c r="B14" i="6"/>
  <c r="C4" i="6"/>
  <c r="C8" i="6"/>
  <c r="C18" i="6"/>
  <c r="C20" i="7"/>
  <c r="C14" i="6"/>
  <c r="F5" i="6"/>
  <c r="R5" i="6" s="1"/>
  <c r="G392" i="11"/>
  <c r="B9" i="13"/>
  <c r="B8" i="13"/>
  <c r="C7" i="13"/>
  <c r="G395" i="11" s="1"/>
  <c r="B7" i="13"/>
  <c r="B6" i="13"/>
  <c r="C5" i="13"/>
  <c r="G7" i="6" s="1"/>
  <c r="S7" i="6" s="1"/>
  <c r="B5" i="13"/>
  <c r="C4" i="13"/>
  <c r="B4" i="13"/>
  <c r="D16" i="17" l="1"/>
  <c r="B16" i="17"/>
  <c r="C16" i="17"/>
  <c r="E16" i="17"/>
  <c r="B17" i="17"/>
  <c r="D17" i="17"/>
  <c r="C17" i="17"/>
  <c r="E17" i="17"/>
  <c r="G12" i="6"/>
  <c r="S12" i="6" s="1"/>
  <c r="G14" i="17"/>
  <c r="I395" i="11"/>
  <c r="G13" i="17"/>
  <c r="I392" i="11"/>
  <c r="E17" i="3"/>
  <c r="E18" i="7" s="1"/>
  <c r="B17" i="3"/>
  <c r="C17" i="3"/>
  <c r="D17" i="3"/>
  <c r="D18" i="7" s="1"/>
  <c r="E16" i="3"/>
  <c r="C16" i="3"/>
  <c r="C17" i="7" s="1"/>
  <c r="D16" i="3"/>
  <c r="B16" i="3"/>
  <c r="G9" i="6"/>
  <c r="S9" i="6" s="1"/>
  <c r="G17" i="7"/>
  <c r="S17" i="7" s="1"/>
  <c r="D17" i="7"/>
  <c r="E17" i="7"/>
  <c r="G18" i="7"/>
  <c r="S18" i="7" s="1"/>
  <c r="C18" i="7"/>
  <c r="L11" i="13"/>
  <c r="G398" i="11"/>
  <c r="G13" i="3"/>
  <c r="G12" i="3"/>
  <c r="G389" i="11"/>
  <c r="G14" i="3"/>
  <c r="G397" i="11"/>
  <c r="G394" i="11"/>
  <c r="G391" i="11"/>
  <c r="F21" i="7"/>
  <c r="F20" i="7"/>
  <c r="B7" i="12"/>
  <c r="O243" i="11" s="1"/>
  <c r="F16" i="17" l="1"/>
  <c r="I16" i="17" s="1"/>
  <c r="G14" i="6"/>
  <c r="S14" i="6" s="1"/>
  <c r="G8" i="17"/>
  <c r="E13" i="3"/>
  <c r="B13" i="3"/>
  <c r="C13" i="3"/>
  <c r="D13" i="3"/>
  <c r="F17" i="17"/>
  <c r="I17" i="17" s="1"/>
  <c r="G11" i="6"/>
  <c r="S11" i="6" s="1"/>
  <c r="G7" i="17"/>
  <c r="I394" i="11"/>
  <c r="E12" i="3"/>
  <c r="E13" i="7" s="1"/>
  <c r="B12" i="3"/>
  <c r="C12" i="3"/>
  <c r="D12" i="3"/>
  <c r="D13" i="7" s="1"/>
  <c r="E14" i="17"/>
  <c r="B14" i="17"/>
  <c r="D14" i="17"/>
  <c r="C14" i="17"/>
  <c r="G8" i="6"/>
  <c r="S8" i="6" s="1"/>
  <c r="G6" i="17"/>
  <c r="I391" i="11"/>
  <c r="G6" i="6"/>
  <c r="S6" i="6" s="1"/>
  <c r="G5" i="17"/>
  <c r="I389" i="11"/>
  <c r="E14" i="3"/>
  <c r="E15" i="7" s="1"/>
  <c r="B14" i="3"/>
  <c r="C14" i="3"/>
  <c r="D14" i="3"/>
  <c r="D15" i="7" s="1"/>
  <c r="B13" i="17"/>
  <c r="C13" i="17"/>
  <c r="D13" i="17"/>
  <c r="E13" i="17"/>
  <c r="G9" i="17"/>
  <c r="G402" i="11"/>
  <c r="E14" i="7"/>
  <c r="G13" i="7"/>
  <c r="S13" i="7" s="1"/>
  <c r="G15" i="7"/>
  <c r="S15" i="7" s="1"/>
  <c r="C15" i="7"/>
  <c r="G14" i="7"/>
  <c r="S14" i="7" s="1"/>
  <c r="D14" i="7"/>
  <c r="C14" i="7"/>
  <c r="F19" i="7"/>
  <c r="G4" i="3"/>
  <c r="G4" i="6"/>
  <c r="S4" i="6" s="1"/>
  <c r="I398" i="11"/>
  <c r="G15" i="6"/>
  <c r="S15" i="6" s="1"/>
  <c r="G5" i="6"/>
  <c r="S5" i="6" s="1"/>
  <c r="G9" i="3"/>
  <c r="G6" i="3"/>
  <c r="G7" i="3"/>
  <c r="I397" i="11"/>
  <c r="G8" i="3"/>
  <c r="G5" i="3"/>
  <c r="I19" i="3"/>
  <c r="I20" i="7" s="1"/>
  <c r="T20" i="7" s="1"/>
  <c r="I18" i="3"/>
  <c r="I19" i="7" s="1"/>
  <c r="T19" i="7" s="1"/>
  <c r="I20" i="3"/>
  <c r="I21" i="7" s="1"/>
  <c r="T21" i="7" s="1"/>
  <c r="E8" i="3" l="1"/>
  <c r="E9" i="7" s="1"/>
  <c r="B8" i="3"/>
  <c r="C8" i="3"/>
  <c r="C9" i="7" s="1"/>
  <c r="D8" i="3"/>
  <c r="D9" i="7" s="1"/>
  <c r="B7" i="17"/>
  <c r="C7" i="17"/>
  <c r="D7" i="17"/>
  <c r="E7" i="17"/>
  <c r="B8" i="17"/>
  <c r="C8" i="17"/>
  <c r="E8" i="17"/>
  <c r="D8" i="17"/>
  <c r="G6" i="7"/>
  <c r="S6" i="7" s="1"/>
  <c r="E5" i="3"/>
  <c r="E6" i="7" s="1"/>
  <c r="C5" i="3"/>
  <c r="C6" i="7" s="1"/>
  <c r="D5" i="3"/>
  <c r="D6" i="7" s="1"/>
  <c r="B5" i="3"/>
  <c r="D5" i="17"/>
  <c r="C5" i="17"/>
  <c r="B5" i="17"/>
  <c r="E5" i="17"/>
  <c r="F13" i="17"/>
  <c r="I13" i="17" s="1"/>
  <c r="G7" i="7"/>
  <c r="S7" i="7" s="1"/>
  <c r="D6" i="3"/>
  <c r="D7" i="7" s="1"/>
  <c r="E6" i="3"/>
  <c r="E7" i="7" s="1"/>
  <c r="B6" i="3"/>
  <c r="C6" i="3"/>
  <c r="C7" i="7" s="1"/>
  <c r="G8" i="7"/>
  <c r="S8" i="7" s="1"/>
  <c r="E7" i="3"/>
  <c r="E8" i="7" s="1"/>
  <c r="B7" i="3"/>
  <c r="C7" i="3"/>
  <c r="C8" i="7" s="1"/>
  <c r="D7" i="3"/>
  <c r="D8" i="7" s="1"/>
  <c r="E4" i="3"/>
  <c r="D4" i="3"/>
  <c r="B4" i="3"/>
  <c r="C4" i="3"/>
  <c r="C6" i="17"/>
  <c r="E6" i="17"/>
  <c r="B6" i="17"/>
  <c r="F14" i="17"/>
  <c r="I14" i="17" s="1"/>
  <c r="C9" i="17"/>
  <c r="C21" i="17" s="1"/>
  <c r="C25" i="17" s="1"/>
  <c r="E9" i="17"/>
  <c r="D9" i="17"/>
  <c r="B9" i="17"/>
  <c r="G25" i="17"/>
  <c r="E9" i="3"/>
  <c r="B9" i="3"/>
  <c r="D9" i="3"/>
  <c r="C9" i="3"/>
  <c r="C13" i="7"/>
  <c r="G5" i="7"/>
  <c r="S5" i="7" s="1"/>
  <c r="B5" i="7"/>
  <c r="D5" i="7"/>
  <c r="B13" i="7"/>
  <c r="F12" i="3"/>
  <c r="B15" i="7"/>
  <c r="F14" i="3"/>
  <c r="G9" i="7"/>
  <c r="S9" i="7" s="1"/>
  <c r="G10" i="7"/>
  <c r="S10" i="7" s="1"/>
  <c r="G11" i="3"/>
  <c r="G25" i="3" s="1"/>
  <c r="I5" i="6"/>
  <c r="T5" i="6" s="1"/>
  <c r="B13" i="6"/>
  <c r="B18" i="7"/>
  <c r="B10" i="6"/>
  <c r="B17" i="7"/>
  <c r="B9" i="6"/>
  <c r="B14" i="7"/>
  <c r="F5" i="17" l="1"/>
  <c r="I5" i="17" s="1"/>
  <c r="B6" i="7"/>
  <c r="F5" i="3"/>
  <c r="I5" i="3" s="1"/>
  <c r="F7" i="17"/>
  <c r="I7" i="17" s="1"/>
  <c r="B8" i="7"/>
  <c r="F7" i="3"/>
  <c r="I7" i="3" s="1"/>
  <c r="B7" i="7"/>
  <c r="F6" i="3"/>
  <c r="I6" i="3" s="1"/>
  <c r="B9" i="7"/>
  <c r="F8" i="3"/>
  <c r="I8" i="3" s="1"/>
  <c r="E21" i="17"/>
  <c r="E25" i="17" s="1"/>
  <c r="F8" i="17"/>
  <c r="I8" i="17" s="1"/>
  <c r="D21" i="17"/>
  <c r="D25" i="17" s="1"/>
  <c r="F6" i="17"/>
  <c r="I6" i="17" s="1"/>
  <c r="F4" i="3"/>
  <c r="I4" i="3" s="1"/>
  <c r="E11" i="3"/>
  <c r="E21" i="3" s="1"/>
  <c r="E25" i="3" s="1"/>
  <c r="C11" i="3"/>
  <c r="D11" i="3"/>
  <c r="D21" i="3" s="1"/>
  <c r="D25" i="3" s="1"/>
  <c r="B11" i="3"/>
  <c r="B21" i="3" s="1"/>
  <c r="B25" i="3" s="1"/>
  <c r="D10" i="7"/>
  <c r="C21" i="3"/>
  <c r="C25" i="3" s="1"/>
  <c r="C10" i="7"/>
  <c r="E10" i="7"/>
  <c r="B10" i="7"/>
  <c r="F9" i="3"/>
  <c r="I9" i="3" s="1"/>
  <c r="F9" i="17"/>
  <c r="B21" i="17"/>
  <c r="B25" i="17" s="1"/>
  <c r="C5" i="7"/>
  <c r="F13" i="7"/>
  <c r="R13" i="7" s="1"/>
  <c r="I12" i="3"/>
  <c r="I13" i="7" s="1"/>
  <c r="T13" i="7" s="1"/>
  <c r="F15" i="7"/>
  <c r="R15" i="7" s="1"/>
  <c r="I14" i="3"/>
  <c r="I15" i="7" s="1"/>
  <c r="T15" i="7" s="1"/>
  <c r="G12" i="7"/>
  <c r="S12" i="7" s="1"/>
  <c r="E12" i="7"/>
  <c r="G19" i="6"/>
  <c r="S19" i="6" s="1"/>
  <c r="G58" i="3"/>
  <c r="F17" i="3"/>
  <c r="F18" i="7" s="1"/>
  <c r="R18" i="7" s="1"/>
  <c r="F13" i="3"/>
  <c r="F14" i="7" s="1"/>
  <c r="R14" i="7" s="1"/>
  <c r="F16" i="3"/>
  <c r="F17" i="7" s="1"/>
  <c r="R17" i="7" s="1"/>
  <c r="F12" i="6"/>
  <c r="R12" i="6" s="1"/>
  <c r="I12" i="6"/>
  <c r="T12" i="6" s="1"/>
  <c r="F13" i="6"/>
  <c r="R13" i="6" s="1"/>
  <c r="I13" i="6"/>
  <c r="T13" i="6" s="1"/>
  <c r="F7" i="6"/>
  <c r="R7" i="6" s="1"/>
  <c r="I7" i="6"/>
  <c r="T7" i="6" s="1"/>
  <c r="F9" i="7" l="1"/>
  <c r="R9" i="7" s="1"/>
  <c r="I9" i="7"/>
  <c r="T9" i="7" s="1"/>
  <c r="F8" i="7"/>
  <c r="R8" i="7" s="1"/>
  <c r="I8" i="7"/>
  <c r="T8" i="7" s="1"/>
  <c r="F6" i="7"/>
  <c r="R6" i="7" s="1"/>
  <c r="I6" i="7"/>
  <c r="T6" i="7" s="1"/>
  <c r="F7" i="7"/>
  <c r="R7" i="7" s="1"/>
  <c r="I7" i="7"/>
  <c r="T7" i="7" s="1"/>
  <c r="I9" i="17"/>
  <c r="F21" i="17"/>
  <c r="F25" i="17" s="1"/>
  <c r="F10" i="7"/>
  <c r="R10" i="7" s="1"/>
  <c r="I10" i="7"/>
  <c r="T10" i="7" s="1"/>
  <c r="D12" i="7"/>
  <c r="B12" i="7"/>
  <c r="B22" i="7" s="1"/>
  <c r="F11" i="3"/>
  <c r="F21" i="3" s="1"/>
  <c r="C12" i="7"/>
  <c r="C19" i="6"/>
  <c r="I17" i="3"/>
  <c r="I18" i="7" s="1"/>
  <c r="T18" i="7" s="1"/>
  <c r="I16" i="3"/>
  <c r="I17" i="7" s="1"/>
  <c r="T17" i="7" s="1"/>
  <c r="I13" i="3"/>
  <c r="I14" i="7" s="1"/>
  <c r="T14" i="7" s="1"/>
  <c r="F11" i="6"/>
  <c r="R11" i="6" s="1"/>
  <c r="I11" i="6"/>
  <c r="T11" i="6" s="1"/>
  <c r="F14" i="6"/>
  <c r="R14" i="6" s="1"/>
  <c r="I14" i="6"/>
  <c r="T14" i="6" s="1"/>
  <c r="F15" i="6"/>
  <c r="R15" i="6" s="1"/>
  <c r="I15" i="6"/>
  <c r="T15" i="6" s="1"/>
  <c r="F8" i="6"/>
  <c r="R8" i="6" s="1"/>
  <c r="I8" i="6"/>
  <c r="T8" i="6" s="1"/>
  <c r="F18" i="6"/>
  <c r="R18" i="6" s="1"/>
  <c r="I18" i="6"/>
  <c r="T18" i="6" s="1"/>
  <c r="F10" i="6"/>
  <c r="R10" i="6" s="1"/>
  <c r="I10" i="6"/>
  <c r="T10" i="6" s="1"/>
  <c r="F17" i="6"/>
  <c r="R17" i="6" s="1"/>
  <c r="I17" i="6"/>
  <c r="T17" i="6" s="1"/>
  <c r="F6" i="6"/>
  <c r="R6" i="6" s="1"/>
  <c r="I6" i="6"/>
  <c r="T6" i="6" s="1"/>
  <c r="F16" i="6"/>
  <c r="R16" i="6" s="1"/>
  <c r="I16" i="6"/>
  <c r="T16" i="6" s="1"/>
  <c r="F12" i="7" l="1"/>
  <c r="R12" i="7" s="1"/>
  <c r="I11" i="3"/>
  <c r="I12" i="7" s="1"/>
  <c r="T12" i="7" s="1"/>
  <c r="C58" i="3"/>
  <c r="F9" i="6"/>
  <c r="R9" i="6" s="1"/>
  <c r="I9" i="6"/>
  <c r="T9" i="6" s="1"/>
  <c r="C22" i="7" l="1"/>
  <c r="C62" i="3"/>
  <c r="G63" i="7"/>
  <c r="E70" i="7" s="1"/>
  <c r="E71" i="7" l="1"/>
  <c r="E73" i="7"/>
  <c r="B72" i="7"/>
  <c r="C70" i="7"/>
  <c r="C71" i="7"/>
  <c r="B69" i="7"/>
  <c r="E68" i="7"/>
  <c r="B71" i="7"/>
  <c r="C73" i="7"/>
  <c r="D70" i="7"/>
  <c r="B73" i="7"/>
  <c r="D72" i="7"/>
  <c r="E72" i="7"/>
  <c r="C72" i="7"/>
  <c r="D68" i="7"/>
  <c r="D69" i="7"/>
  <c r="D73" i="7"/>
  <c r="B68" i="7"/>
  <c r="D71" i="7"/>
  <c r="C68" i="7"/>
  <c r="B70" i="7"/>
  <c r="E69" i="7"/>
  <c r="C69" i="7"/>
  <c r="D65" i="7"/>
  <c r="E65" i="7"/>
  <c r="C4" i="10" l="1"/>
  <c r="C5" i="10"/>
  <c r="C6" i="10" s="1"/>
  <c r="B5" i="10"/>
  <c r="B6" i="10" s="1"/>
  <c r="E3" i="10"/>
  <c r="E4" i="10"/>
  <c r="E2" i="10"/>
  <c r="F63" i="7" l="1"/>
  <c r="E6" i="10"/>
  <c r="E5" i="10"/>
  <c r="I63" i="7" l="1"/>
  <c r="F65" i="7"/>
  <c r="C20" i="6"/>
  <c r="E20" i="6"/>
  <c r="D19" i="6" l="1"/>
  <c r="D20" i="6" s="1"/>
  <c r="D4" i="1"/>
  <c r="D58" i="3"/>
  <c r="D22" i="7" l="1"/>
  <c r="D62" i="3"/>
  <c r="D9" i="1"/>
  <c r="E4" i="1"/>
  <c r="E9" i="1" s="1"/>
  <c r="D5" i="5"/>
  <c r="C14" i="1" l="1"/>
  <c r="C13" i="1" s="1"/>
  <c r="G34" i="4"/>
  <c r="J14" i="8"/>
  <c r="J15" i="8" s="1"/>
  <c r="E5" i="5"/>
  <c r="D10" i="5"/>
  <c r="G35" i="4" l="1"/>
  <c r="I35" i="4" s="1"/>
  <c r="I34" i="4"/>
  <c r="E10" i="5"/>
  <c r="J10" i="5" s="1"/>
  <c r="J5" i="5"/>
  <c r="B4" i="6"/>
  <c r="I4" i="6"/>
  <c r="T4" i="6" s="1"/>
  <c r="F4" i="6" l="1"/>
  <c r="E5" i="7" l="1"/>
  <c r="E22" i="7" s="1"/>
  <c r="F25" i="3"/>
  <c r="I5" i="7" l="1"/>
  <c r="F5" i="7"/>
  <c r="R5" i="7" s="1"/>
  <c r="T5" i="7" l="1"/>
  <c r="F22" i="7"/>
  <c r="B19" i="6" l="1"/>
  <c r="B20" i="6" s="1"/>
  <c r="B58" i="3"/>
  <c r="B62" i="3" s="1"/>
  <c r="N243" i="11"/>
  <c r="P243" i="11" s="1"/>
  <c r="F19" i="6"/>
  <c r="F20" i="6" l="1"/>
  <c r="R19" i="6"/>
  <c r="I402" i="11"/>
  <c r="I19" i="6" s="1"/>
  <c r="T19" i="6" s="1"/>
  <c r="F58" i="3"/>
  <c r="I58" i="3" s="1"/>
</calcChain>
</file>

<file path=xl/sharedStrings.xml><?xml version="1.0" encoding="utf-8"?>
<sst xmlns="http://schemas.openxmlformats.org/spreadsheetml/2006/main" count="848" uniqueCount="360">
  <si>
    <t>ประเภทค่าใช้จ่าย</t>
  </si>
  <si>
    <t>เงินในงบประมาณ</t>
  </si>
  <si>
    <t>เงินนอกงบประมาณ</t>
  </si>
  <si>
    <t>รวม</t>
  </si>
  <si>
    <t>งบกลาง</t>
  </si>
  <si>
    <t>ค่าเสื่อมราคา</t>
  </si>
  <si>
    <t>ต้นทุนรวม</t>
  </si>
  <si>
    <t>ตารางที่ 4 รายงานต้นทุนผลผลิต จำแนกตามผลผลิต และประเภทงบประมาณ มหาวิทยาลัยราชภัฏลำปาง</t>
  </si>
  <si>
    <t>รายได้</t>
  </si>
  <si>
    <t>รายได้จากรัฐบาล</t>
  </si>
  <si>
    <t>หน่วย:บาท</t>
  </si>
  <si>
    <t>ต้นทุนต่อหน่วย</t>
  </si>
  <si>
    <t>หน่วยงาน   มหาวิทยาลัยราชภัฏลำปาง</t>
  </si>
  <si>
    <t>รายงานต้นทุนต่อผลผลิต</t>
  </si>
  <si>
    <t>ตารางที่ 1 รายงานรายได้แยกประเภทตามแหล่งของเงิน</t>
  </si>
  <si>
    <t>รายได้:</t>
  </si>
  <si>
    <t>รายได้ระหว่างหน่วยงาน-หน่วยงานรับเงินงบบุคลากรจากรัฐ</t>
  </si>
  <si>
    <t>รายได้ระหว่างหน่วยงาน-หน่วยงานรับเงินงบลงทุนการรัฐ</t>
  </si>
  <si>
    <t>รายได้ระหว่างหน่วยงาน-หน่วยงานรับเงินงบดำเนินการจากรัฐ</t>
  </si>
  <si>
    <t>รายได้ระหว่างหน่วยงาน-หน่วยงานรับเงินงบอุดหนุนจากรัฐ</t>
  </si>
  <si>
    <t>รายได้ระหว่างหน่วยงาน-หน่วยงานรับเงินงบกลางจากรัฐ</t>
  </si>
  <si>
    <t>รวมรายได้จากรัฐบาล</t>
  </si>
  <si>
    <t>รายได้จากแหล่งอื่น</t>
  </si>
  <si>
    <t>รายได้ค่าธรรมเนียมการศึกษา</t>
  </si>
  <si>
    <t>รายได้ค่าบริการการศึกษา</t>
  </si>
  <si>
    <t>รายได้ดอกเบี้ยเงินฝากจากสถาบันการเงิน</t>
  </si>
  <si>
    <t>รายได้ดอกเบี้ยจากเงินยืมนอกงบประมาณ</t>
  </si>
  <si>
    <t>รายได้ค่าปรับ</t>
  </si>
  <si>
    <t>รวมรายได้จากแหล่งอื่น</t>
  </si>
  <si>
    <t>กิจกรรม</t>
  </si>
  <si>
    <t>ผลผลิต</t>
  </si>
  <si>
    <t>1.การจัดการเรียนระดับปริญญาตรี</t>
  </si>
  <si>
    <t xml:space="preserve">  1.3 กลุ่มสาขาวิชามนุษศาสตร์และสังคมศาสตร์</t>
  </si>
  <si>
    <t>แผ่นดิน</t>
  </si>
  <si>
    <t>ใช้ไปทั้งหมด</t>
  </si>
  <si>
    <t>หมวดลงทุน</t>
  </si>
  <si>
    <t>บัณฑิตศึกษา</t>
  </si>
  <si>
    <t>บัณฑิต</t>
  </si>
  <si>
    <t>ดำเนินงาน</t>
  </si>
  <si>
    <t>ลงทุน</t>
  </si>
  <si>
    <t>อุดหนุน</t>
  </si>
  <si>
    <t>5.สนับสนุนการจัดการเรียนการสอน</t>
  </si>
  <si>
    <t>ปริมาณ</t>
  </si>
  <si>
    <t>หน่วยนับ</t>
  </si>
  <si>
    <t>FTES</t>
  </si>
  <si>
    <t>เรื่อง</t>
  </si>
  <si>
    <t xml:space="preserve">รายได้ประเภทที่ 1 เหตุผล..... </t>
  </si>
  <si>
    <t xml:space="preserve">รายได้ประเภทที่ 2 เหตุผล..... </t>
  </si>
  <si>
    <t xml:space="preserve">รายได้ประเภทที่ 3 เหตุผล..... </t>
  </si>
  <si>
    <t xml:space="preserve">รายได้ประเภทที่ 4 เหตุผล..... </t>
  </si>
  <si>
    <t>ชื่อผลผลิต</t>
  </si>
  <si>
    <r>
      <t>ตารางที่ 2 รายงานประเภทค่าใช้จ่ายของหน่วยงาน</t>
    </r>
    <r>
      <rPr>
        <sz val="14"/>
        <color rgb="FF000000"/>
        <rFont val="TH SarabunPSK"/>
        <family val="2"/>
      </rPr>
      <t xml:space="preserve"> </t>
    </r>
    <r>
      <rPr>
        <b/>
        <sz val="14"/>
        <color rgb="FF000000"/>
        <rFont val="TH SarabunPSK"/>
        <family val="2"/>
      </rPr>
      <t>มหาวิทยาลัยราชภัฏลำปาง</t>
    </r>
  </si>
  <si>
    <t>คณะ/หน่วยงาน</t>
  </si>
  <si>
    <t>รวมรายได้จากการดำเนินงาน</t>
  </si>
  <si>
    <t>ค่าใช้จ่ายจากการดำเนินงาน</t>
  </si>
  <si>
    <t>ค่าใช้จ่ายด้านบุคลากร</t>
  </si>
  <si>
    <t>ค่าบำเหน็จบำนาญ</t>
  </si>
  <si>
    <t>ค่าใช้จ่ายในการฝึกอบรม</t>
  </si>
  <si>
    <t>ค่าใช้จ่ายในการเดินทาง</t>
  </si>
  <si>
    <t>ค่าวัสดุและค่าใช้สอยอื่น</t>
  </si>
  <si>
    <t>ค่าสาธารณูปโภค</t>
  </si>
  <si>
    <t>ค่าเสื่อมราคาและค่าตัดจำหน่าย</t>
  </si>
  <si>
    <t>ค่าใช้จ่ายอื่น</t>
  </si>
  <si>
    <t>รวมค่าใช้จ่ายจากการดำเนินงาน</t>
  </si>
  <si>
    <t>รายได้สูง(ต่ำ) กว่าค่าใช้จ่ายจากการดำเนินงาน</t>
  </si>
  <si>
    <t>รายได้/ค่าใช้จ่ายที่ไม่เกิดจากการดำเนินงาน</t>
  </si>
  <si>
    <t>รายได้ที่ไม่เกิดจากการดำเนินงาน</t>
  </si>
  <si>
    <t>รายได้สูง(ต่ำ) กว่าค่าใช้จ่ายสุทธิ</t>
  </si>
  <si>
    <t>ค่าใช้จ่ายอุดหนุน</t>
  </si>
  <si>
    <t>เพิ่มขึ้น/(ลดลง)%</t>
  </si>
  <si>
    <t>D68 = ค่าเสื่อมราคารวม</t>
  </si>
  <si>
    <t>G33 = ปริมาณ</t>
  </si>
  <si>
    <t>G86 =  ปริมาณ FTEF รวม</t>
  </si>
  <si>
    <t>รายงานรายได้แยกตามแหล่งเงิน</t>
  </si>
  <si>
    <t>รายได้อื่น</t>
  </si>
  <si>
    <t>รายได้รวม</t>
  </si>
  <si>
    <t>1. ค่าใช้จ่ายบุคลากร</t>
  </si>
  <si>
    <t>หมวยรายจ่าย</t>
  </si>
  <si>
    <t>จำนวนเงิน</t>
  </si>
  <si>
    <t>ร้อยละ</t>
  </si>
  <si>
    <t>คำชี้แจง</t>
  </si>
  <si>
    <t>1.งบบุคลากร</t>
  </si>
  <si>
    <t>2.งบดำเนินงาน</t>
  </si>
  <si>
    <t>4.งบอุดหนุน</t>
  </si>
  <si>
    <t>5.งบรายจ่ายอื่น</t>
  </si>
  <si>
    <t>รวมทั้งสิ้น</t>
  </si>
  <si>
    <t>เทอม 1</t>
  </si>
  <si>
    <t>เทอม 2</t>
  </si>
  <si>
    <t>ป.ตรี</t>
  </si>
  <si>
    <t>ป.โท</t>
  </si>
  <si>
    <t>ป.เอก</t>
  </si>
  <si>
    <t>ครุศาสตร์</t>
  </si>
  <si>
    <t>วิทยาศาสตร์</t>
  </si>
  <si>
    <t>มนุษย์ศาสตร์</t>
  </si>
  <si>
    <t>วิทยาการจัดการ</t>
  </si>
  <si>
    <t>เทคโนโลยีอุตสาหกรรม</t>
  </si>
  <si>
    <t>เทคโนโลยีการเกษตร</t>
  </si>
  <si>
    <t>2.การจัดการเรียนการระดับปริญญาโท</t>
  </si>
  <si>
    <t>3.การจัดการเรียนการสอนระดับปริญญาเอก</t>
  </si>
  <si>
    <t xml:space="preserve">4.ผลงานการให้บริการด้านวิชาการ </t>
  </si>
  <si>
    <t xml:space="preserve">  2.3 กลุ่มสาขาวิชามนุษศาสตร์และสังคมศาสตร์</t>
  </si>
  <si>
    <t>7.ผลการสนับสนุนการจัดการเรียนการสอน</t>
  </si>
  <si>
    <t>ปีงบประมาณ พ.ศ. 2560</t>
  </si>
  <si>
    <t>ปีงบประมาณ 2560</t>
  </si>
  <si>
    <t>ตารางที่ 5 รายงานเปรียบเทียบรายได้แยกประเภทตามแหล่งของเงิน ประจำปี งบประมาณ พ.ศ.2559-2560</t>
  </si>
  <si>
    <t>รายได้ระหว่างหน่วยงาน-หน่วยงานรับเงินงบรายจ่ายอื่นจากรัฐ</t>
  </si>
  <si>
    <t>รายได้รับโอนภายในกรมเดียวกัน</t>
  </si>
  <si>
    <t>รายได้จากการให้บริการทางวิชาการ</t>
  </si>
  <si>
    <t>รายได้จากการบริจาค</t>
  </si>
  <si>
    <t>รายได้จากการขายสินค้า</t>
  </si>
  <si>
    <t>รายได้จากการบริการ-บุคคลภายนอก</t>
  </si>
  <si>
    <t>รายได้ค่าเช่าอสังหาริมทรัพย์-บุคคลภายนอก</t>
  </si>
  <si>
    <t>รวมรายได้/ค่าใช้จ่าย ที่ไม่เกิดจากการดำเนินงาน</t>
  </si>
  <si>
    <t>ต้นทุนรวมเพิ่มขึ้น (ลดลง)%</t>
  </si>
  <si>
    <t>ปริมาณเพิ่มขึ้น(ลดลง)%</t>
  </si>
  <si>
    <t>ต้นทุนต่อหน่วยเพิ่มขึ้น (ลดลง)%</t>
  </si>
  <si>
    <t xml:space="preserve">  3.1 กลุ่มสาขาวิชามนุษศาสตร์และสังคมศาสตร์</t>
  </si>
  <si>
    <t>เพิ่มขึ้น(ลดลง)%</t>
  </si>
  <si>
    <t>การวิเคราะห์สาเหตุการเปลี่ยนแปลงของต้นทุนกิจกรรม</t>
  </si>
  <si>
    <t>ประจำปีงบประมาณ พ.ศ.2561</t>
  </si>
  <si>
    <t>รายได้จากเงินนอกงบประมาณ</t>
  </si>
  <si>
    <t>มหาวิทยาลัยราชภัฏลำปาง</t>
  </si>
  <si>
    <t>งบแสดงผลการดำเนินงานทางการเงิน</t>
  </si>
  <si>
    <t>สำหรับปีสิ้นสุดวันที่ 30 กันยายน 2561</t>
  </si>
  <si>
    <t>(หน่วย : บาท)</t>
  </si>
  <si>
    <t>หมายเหตุ</t>
  </si>
  <si>
    <t>รายได้จากงบประมาณ</t>
  </si>
  <si>
    <t>รวมรายได้</t>
  </si>
  <si>
    <t>ค่าใช้จ่าย</t>
  </si>
  <si>
    <t>ค่าใช้จ่ายบุคลากร</t>
  </si>
  <si>
    <t>ค่าตอบแทน</t>
  </si>
  <si>
    <t>ค่าวัสดุ</t>
  </si>
  <si>
    <t>ค่าใช้สอย</t>
  </si>
  <si>
    <t>ค่าใช้จ่ายจากการอุดหนุนและบริจาค</t>
  </si>
  <si>
    <t>รวมค่าใช้จ่าย</t>
  </si>
  <si>
    <t>รายได้สูง/(ต่ำ)กว่าค่าใช้จ่ายสุทธิ</t>
  </si>
  <si>
    <t>หมายเหตุประกอบงบการเงินเป็นส่วนหนึ่งของงบการเงินนี้</t>
  </si>
  <si>
    <t>ตารางที่ 5 รายงานเปรียบเทียบรายได้แยกประเภทตามแหล่งของเงิน ประจำปี งบประมาณ พ.ศ.2560-2561</t>
  </si>
  <si>
    <r>
      <t>ตารางที่ 6 เปรียบเทียบต้นทุนตามประเภทค่าใช้จ่าย ประจำปีงบประมาณ พ.ศ. 2561 และ พ.ศ. 2560 มหาวิทยาลัยราชภัฏลำปาง</t>
    </r>
    <r>
      <rPr>
        <b/>
        <sz val="14"/>
        <color theme="1"/>
        <rFont val="Tahoma"/>
        <family val="2"/>
        <charset val="222"/>
        <scheme val="minor"/>
      </rPr>
      <t xml:space="preserve"> </t>
    </r>
  </si>
  <si>
    <t>ปีงบประมาณ พ.ศ. 2561</t>
  </si>
  <si>
    <t>หน่วยงาน:คณะครุศาสตร์</t>
  </si>
  <si>
    <t>สาขา-งาน/ผลผลิต</t>
  </si>
  <si>
    <t>สาขา/งาน:สำนักงานคณบดี คณะครุศาสตร์</t>
  </si>
  <si>
    <t>ผลผลิตผู้สำเร็จการศึกษาด้านสังคมศาสตร์</t>
  </si>
  <si>
    <t>ผลผลิตผู้สำเร็จการศึกษาด้านวิทยาศาสตร์และเทคโนโลยี</t>
  </si>
  <si>
    <t>ผลผลิตผลงานการให้บริการด้านวิชาการ</t>
  </si>
  <si>
    <t>ผลผลิตผลงานทำนุบำรุงศิลปวัฒนธรรม</t>
  </si>
  <si>
    <t>โครงการวิจัยและนวัตกรรมเพื่อแก้ปัญหาหรือสร้างความแข็มแข็งด้านสังคม ชุมชน</t>
  </si>
  <si>
    <t>โครงการพัฒนาทักษะการดำรงชีวิตด้วยการส่งเสริมพลังสุขภาพจิต</t>
  </si>
  <si>
    <t>โครงการยกระดับคุณภาพการศึกษาและการเรียนรู้ตลอดชีวิต</t>
  </si>
  <si>
    <t>สาขา/งาน:สาขาวิชาการศึกษาปฐมวัย</t>
  </si>
  <si>
    <t>สาขา/งาน:สาขาวิชาภาษาอังกฤษ (ค.บ.)</t>
  </si>
  <si>
    <t>สาขา/งาน:สาขาวิชาคอมพิวเตอร์(ค.บ.)</t>
  </si>
  <si>
    <t>สาขา/งาน:ศูนย์การศึกษาพิเศษ</t>
  </si>
  <si>
    <t>สาขา/งาน:โครงการอันเนื่องมาจากพระราชดำริ(ตชด.)</t>
  </si>
  <si>
    <t>สาขา/งาน:สาขาวิชาภาษาไทย</t>
  </si>
  <si>
    <t>สาขา/งาน:สาขาวิชาภาษาอังกฤษและจิตวิทยาการปรึกษาและการแนะแนว</t>
  </si>
  <si>
    <t>สาขา/งาน:ศูนย์ฝึกประสบการณ์วิชาชีพครู</t>
  </si>
  <si>
    <t>สาขา/งาน:ฝ่ายกิจการนักศึกษา คณะครุศาสตร์</t>
  </si>
  <si>
    <t>หน่วยงาน:คณะวิทยาศาสตร์</t>
  </si>
  <si>
    <t>สาขา/งาน:สำนักงานคณบดี คณะวิทยาศาสตร์</t>
  </si>
  <si>
    <t>โครงการวิจัยและนวัตกรรมในอุตสาหกรรมยุทธศาสตร์และเป้าหมายของประเทศ</t>
  </si>
  <si>
    <t>โครงการวิจัยและพัฒนาเพื่อสร้าง/สะสมองค์ความรู้ที่มีศักยภาพ</t>
  </si>
  <si>
    <t>สาขา/งาน:สาขาวิชาวิทยาการคอมพิวเตอร์</t>
  </si>
  <si>
    <t>สาขา/งาน:สาขาวิชาเทคโนโลยีสารสนเทศ</t>
  </si>
  <si>
    <t>สาขา/งาน:สาขาวิชาคณิตศาสตร์</t>
  </si>
  <si>
    <t>สาขา/งาน:สาขาวิชาอุตสาหกรรมอาหารและบริการ</t>
  </si>
  <si>
    <t>สาขา/งาน:สาขาวิชาสาธารณสุขชุมชน</t>
  </si>
  <si>
    <t>สาขา/งาน:ศูนย์วิทยาศาสตร์และวิทยาศาสตร์ประยุกต์</t>
  </si>
  <si>
    <t>สาขา/งาน:สาขาวิชาเคมี</t>
  </si>
  <si>
    <t>สาขา/งาน:สาขาวิชาชีววิทยา</t>
  </si>
  <si>
    <t>สาขา/งาน:สาขาวิชาฟิสิกส์</t>
  </si>
  <si>
    <t>สาขา/งาน:สาขาวิชาเคมีประยุกต์ (ป.โท)</t>
  </si>
  <si>
    <t>หน่วยงาน:คณะมนุษยศาสตร์และสังคมศาสตร์</t>
  </si>
  <si>
    <t>สาขา/งาน:สำนักงานคณบดี คณะมนุษย์ศาสตร์และสังคมศาสตร์</t>
  </si>
  <si>
    <t>โครงการพัฒนาศักยภาพบุคลากรด้านการท่องเที่ยว</t>
  </si>
  <si>
    <t>สาขา/งาน:สาขาวิชาศิลปะและการออกแบบ</t>
  </si>
  <si>
    <t>สาขา/งาน:สาขาวิชาภาษาไทย (ศศ.บ.)</t>
  </si>
  <si>
    <t>สาขา/งาน:สาขาวิชาภาษาอังกฤษ(ศศ.บ.)</t>
  </si>
  <si>
    <t>สาขา/งาน:สาขาวิชาการพัฒนาชุมชน</t>
  </si>
  <si>
    <t>สาขา/งาน:สาขาวิชาดนตรี</t>
  </si>
  <si>
    <t>สาขา/งาน:สาขาวิชาภาษาจีน(ศศ.บ.)</t>
  </si>
  <si>
    <t>สาขา/งาน:สาขาวิชาสังคมศึกษา</t>
  </si>
  <si>
    <t>สาขา/งาน:สาขาวิชารัฐประศาสนศาสตร์</t>
  </si>
  <si>
    <t>สาขา/งาน:สาขาวิชานิติศาสตร์</t>
  </si>
  <si>
    <t>สาขา/งาน:สาขาวิชาภาษาไทยเพื่อการสื่อสารสำหรับชาวต่างประเทศ</t>
  </si>
  <si>
    <t>สาขา/งาน:สาขาวิชาภาษาจีน(ค.บ.)</t>
  </si>
  <si>
    <t>สาขา/งาน:สาขาวิชาการเมืองและการปกครอง</t>
  </si>
  <si>
    <t>หน่วยงาน:คณะวิทยาการจัดการ</t>
  </si>
  <si>
    <t>สาขา/งาน:สำนักงานคณบดี คณะวิทยาการจัดการ</t>
  </si>
  <si>
    <t>โครงการบริการจัดการขยะและสิ่งแวดล้อม</t>
  </si>
  <si>
    <t>สาขา/งาน:สาขาวิชานิเทศศาสตร์</t>
  </si>
  <si>
    <t>สาขา/งาน:สาขาวิชาการตลาด</t>
  </si>
  <si>
    <t>สาขา/งาน:สาขาวิชาการจัดการทั่วไป</t>
  </si>
  <si>
    <t>สาขา/งาน:สาขาวิชาการบัญชี</t>
  </si>
  <si>
    <t>สาขา/งาน:สาขาวิชาคอมพิวเตอร์ธุรกิจ</t>
  </si>
  <si>
    <t>สาขา/งาน:สาขาวิชาอุตสาหกรรมท่องเที่ยว</t>
  </si>
  <si>
    <t>สาขา/งาน:สาขาวิชาจัดการธุรกิจระหว่างประเทศ</t>
  </si>
  <si>
    <t>สาขา/งาน:สาขาวิชาเศรษฐศาสตร์</t>
  </si>
  <si>
    <t>สาขา/งาน:สาขาธุรกิจอิเล็กทรอนิกส์</t>
  </si>
  <si>
    <t>สาขา/งาน:ฝ่ายกิจการนักศึกษา</t>
  </si>
  <si>
    <t>สาขา/งาน:สาขาวิชาการจัดการธุรกิจค้าปลีก</t>
  </si>
  <si>
    <t>หน่วยงาน:คณะเทคโนโลยีอุตสาหกรรม</t>
  </si>
  <si>
    <t>สาขา/งาน:สำนักงานคณบดี คณะเทคโนโลยีอุตสาหกรรม</t>
  </si>
  <si>
    <t>สาขา/งาน:สาขาวิชาเทคโนโลยีเซรามิกส์</t>
  </si>
  <si>
    <t>สาขา/งาน:สาขาวิชาเทคโนโลยีโยธา</t>
  </si>
  <si>
    <t>สาขา/งาน:สาขาวิชาวิศวกรรมซอฟต์แวร์</t>
  </si>
  <si>
    <t>สาขา/งาน:สาขาวิชาเทคโนโลยีการผลิต</t>
  </si>
  <si>
    <t>สาขา/งาน:สาขาวิชาเทคโนโลยีคอมพิวเตอร์อุตสาหกรรม</t>
  </si>
  <si>
    <t>สาขา/งาน:สาขาวิชาเทคโนโลยีไฟฟ้า</t>
  </si>
  <si>
    <t>สาขา/งาน:สาขาวิชาเทคโนโลยีอิเล็กทรอนิกส์</t>
  </si>
  <si>
    <t>สาขา/งาน:สาขาวิชามาตรวิทยาและระบบคุณภาพ</t>
  </si>
  <si>
    <t>สาขา/งาน:สาขาวิชาเทคโนโลยีพลังงาน</t>
  </si>
  <si>
    <t>สาขา/งาน:สาขาวิชาอุตสาหกรรมศิลป์</t>
  </si>
  <si>
    <t>หน่วยงาน:คณะเทคโนโลยีการเกษตร</t>
  </si>
  <si>
    <t>สาขา/งาน:สำนักงานคณบดี คณะเทคโนโลยีการเกษตร</t>
  </si>
  <si>
    <t>สาขา/งาน:สาขาวิชาเกษตรศาสตร์</t>
  </si>
  <si>
    <t>สาขา/งาน:ศูนย์การเรียนรู้เกษตรผสมผสานตามแนวพระราชดำริ</t>
  </si>
  <si>
    <t>หน่วยงาน:สำนักวิทยบริการและเทคโนโลยีสารสนเทศ</t>
  </si>
  <si>
    <t>สาขา/งาน:งานบริหารทั่วไป สำนักวิทยบริการและเทคโนโลยีสารสนเทศ</t>
  </si>
  <si>
    <t>สาขา/งาน:งานบริการคอมพิวเตอร์</t>
  </si>
  <si>
    <t>โครงการพัฒนาเศษฐกิจดิจิทัล</t>
  </si>
  <si>
    <t>สาขา/งาน:งานบริการห้องสมุด</t>
  </si>
  <si>
    <t>หน่วยงาน:สถาบันวิจัยและพัฒนา</t>
  </si>
  <si>
    <t>สาขา/งาน:งานบริหารทั่วไป สถาบันวิจัยและพัฒนา</t>
  </si>
  <si>
    <t>สาขา/งาน:งานการจัดการวิจัย</t>
  </si>
  <si>
    <t>สาขา/งาน:งานบริการวิชาการและจัดการความรู้</t>
  </si>
  <si>
    <t>หน่วยงาน:สำนักศิลปะและวัฒนธรรม</t>
  </si>
  <si>
    <t>สาขา/งาน:งานบริหารทั่วไป สำนักศิลปะและวัฒนธรรม</t>
  </si>
  <si>
    <t>สาขา/งาน:งานส่งเสริมเผยแพร่</t>
  </si>
  <si>
    <t>สาขา/งาน:งานศึกษาค้นคว้าและวิจัย</t>
  </si>
  <si>
    <t>หน่วยงาน:หน่วยตรวจสอบภายใน</t>
  </si>
  <si>
    <t>สาขา/งาน:งานตรวจสอบด้านการบริหารการเงินและบัญชี</t>
  </si>
  <si>
    <t>สาขา/งาน:งานตรวจสอบติดตามประเมินผล</t>
  </si>
  <si>
    <t>หน่วยงาน:สำนักสภาคณาจารย์และข้าราชการ</t>
  </si>
  <si>
    <t>สาขา/งาน:งานเลขาสภาคณาจารย์และข้าราชการ</t>
  </si>
  <si>
    <t>หน่วยงาน:โครงการจัดตั้งสถาบันภาษา</t>
  </si>
  <si>
    <t>สาขา/งาน:งานเลขาโครงการจัดตั้งสถาบันภาษา</t>
  </si>
  <si>
    <t>สาขา/งาน:งานนักศึกษานานาชาติ</t>
  </si>
  <si>
    <t>สาขา/งาน:งานวิเทศสัมพันธ์</t>
  </si>
  <si>
    <t>หน่วยงาน:กองกลาง</t>
  </si>
  <si>
    <t>สาขา/งาน:งานบริหารทั่วไป</t>
  </si>
  <si>
    <t>สาขา/งาน:งานสิทธิประโยชน์</t>
  </si>
  <si>
    <t>สาขา/งาน:งานการเจ้าหน้าที่และสวัสดิการ</t>
  </si>
  <si>
    <t>สาขา/งาน:งานคลัง</t>
  </si>
  <si>
    <t>สาขา/งาน:งานพัสดุ</t>
  </si>
  <si>
    <t>สาขา/งาน:งานนิติกร</t>
  </si>
  <si>
    <t>สาขา/งาน:งานประชุมและพิธีการ</t>
  </si>
  <si>
    <t>สาขา/งาน:งานประชาสัมพันธ์</t>
  </si>
  <si>
    <t>สาขา/งาน:งานยานพาหนะ</t>
  </si>
  <si>
    <t>สาขา/งาน:งานออกแบบ</t>
  </si>
  <si>
    <t>สาขา/งาน:งานอาคารสถานที่</t>
  </si>
  <si>
    <t>สาขา/งาน:งานเลขานุการ</t>
  </si>
  <si>
    <t>หน่วยงาน:กองนโยบายและแผน</t>
  </si>
  <si>
    <t>สาขา/งาน:งานบริหารทั่วไป กองนโยบายและแผน</t>
  </si>
  <si>
    <t>สาขา/งาน:งานประกันคุณภาพ</t>
  </si>
  <si>
    <t>สาขา/งาน:งานวิเคราะห์นโยบายและแผน</t>
  </si>
  <si>
    <t>หน่วยงาน:กองบริการการศึกษา</t>
  </si>
  <si>
    <t>สาขา/งาน:งานบริหารทั่วไป กองบริการการศึกษา</t>
  </si>
  <si>
    <t>หน่วยงาน:สำนักงานประสานงานบัณฑิตศึกษา</t>
  </si>
  <si>
    <t>สาขา/งาน:งานประสานงานบัณฑิตศึกษา</t>
  </si>
  <si>
    <t>สาขา/งาน:สาขาวิชาการบริหารการศึกษา(ป.โท)</t>
  </si>
  <si>
    <t>สาขา/งาน:สาขาวิชาหลักสูตรและการสอน(ป.โท)</t>
  </si>
  <si>
    <t>สาขา/งาน:สาขาวิชาการวัด ประเมินและวิจัยทางการศึกษา (ป.โท)</t>
  </si>
  <si>
    <t>สาขา/งาน:สาขาวิชาการบริหารและพัฒนาประชาคมเมืองและชนบท (ป.โท)</t>
  </si>
  <si>
    <t>สาขา/งาน:สาขาวิชาการจัดการ(ป.โท)</t>
  </si>
  <si>
    <t>สาขา/งาน:สาขาวิชาการจัดการ(ป.เอก)</t>
  </si>
  <si>
    <t>สาขา/งาน:สาขาวิชาการบัญชี (ป.โท)</t>
  </si>
  <si>
    <t>สาขา/งาน:ประกาศนียบัตรวิชาชีพครู</t>
  </si>
  <si>
    <t>สาขา/งาน:สาขาวิชาภาษาไทย (ป.เอก)</t>
  </si>
  <si>
    <t>สาขา/งาน:สาขาวิชาเคมีประยุกต์(ป.โท)</t>
  </si>
  <si>
    <t>หน่วยงาน:กองพัฒนานักศึกษา</t>
  </si>
  <si>
    <t>สาขา/งาน:งานบริหารทั่วไป กองพัฒนานักศึกษา</t>
  </si>
  <si>
    <t>สาขา/งาน:งานกิจกรรมนักศึกษา</t>
  </si>
  <si>
    <t>สาขา/งาน:งานบริการและสวัสดิการ</t>
  </si>
  <si>
    <t>สาขา/งาน:งานเลขาศูนย์นักศึกษานานาชาติ</t>
  </si>
  <si>
    <t>หน่วยงาน:งบกลางมหาวิทยาลัยราชภัฏลำปาง</t>
  </si>
  <si>
    <t>สาขา/งาน:งบกลางมหาวิทยาลัยราชภัฏลำปาง</t>
  </si>
  <si>
    <t>รายการบุคลากรภาครัฐ</t>
  </si>
  <si>
    <t>หน่วยงาน:ศูนย์อบรมและการศึกษาต่อเนื่อง</t>
  </si>
  <si>
    <t>สาขา/งาน:ศูนย์อบรมและการศึกษาต่อเนื่อง</t>
  </si>
  <si>
    <t>หน่วยงาน:โรงเรียนสาธิต มหาวิทยาลัยราชภัฏลำปาง</t>
  </si>
  <si>
    <t>สาขา/งาน:งานโรงเรียนสาธิต มหาวิทยาลัยราชภัฏลำปาง</t>
  </si>
  <si>
    <t>โครงการสนับสนุนค่าใช้จ่ายในการจัดการศึกษาตั้งแต่ระดับอนุบาล</t>
  </si>
  <si>
    <t>5.การจัดการเรียนการสอนกลุ่มสาขาวิชามนุษยศาสตร์และสังคมศาสตร์ระดับปริญญาตรี</t>
  </si>
  <si>
    <t>6.การจัดการเรียนการสอนกลุ่มสาขาวิชามนุษยศาสตร์และสังคมศาสตร์ระดับปริญญาโท</t>
  </si>
  <si>
    <t>7.การจัดการเรียนการสอนกลุ่มสาขาวิชามนุษยศาสตร์และสังคมศาสตร์ระดับปริญญาเอก</t>
  </si>
  <si>
    <t>13.การบริการวิชาการ</t>
  </si>
  <si>
    <t>14.งานวิจัย</t>
  </si>
  <si>
    <t>15.การทำนุบำรุงศิลปวัฒนธรรม</t>
  </si>
  <si>
    <t>16.สนับสนุนการจัดการเรียนการสอน</t>
  </si>
  <si>
    <t>งบกลาง(ถ้ามี)</t>
  </si>
  <si>
    <t>(หน่วย:บาท)</t>
  </si>
  <si>
    <t>ตารางที่ 3 รายงานต้นทุนกิจกรรม ประจำปีงบประมาณ พ.ศ.2561</t>
  </si>
  <si>
    <t>ปี60</t>
  </si>
  <si>
    <t>ปี61</t>
  </si>
  <si>
    <t>ตารางที่ 7 รายงานเปรียบเทียบต้นทุนกิจกรรมมหาวิทยาลัยราชภัฏลำปาง ประจำปีงบประมาณ พ.ศ.2560 และ 2561</t>
  </si>
  <si>
    <t>ปีงบประมาณ 2561</t>
  </si>
  <si>
    <t>2. ค่าตอบแทน ใช้สอยวัสดุ และค่าสาธารณูปโภค</t>
  </si>
  <si>
    <t>3. ค่าเสื่อมราคาและค่าตัดจำหน่าย</t>
  </si>
  <si>
    <t>4. ค่าใช้จ่ายจากการอุดหนุนและบริจาค</t>
  </si>
  <si>
    <t>5. ค่าใช้จ่ายอื่น</t>
  </si>
  <si>
    <t>จากตารางที่ 7 สามารถสรุปผลการเปรียบเทียบต้นทุนกิจกรรม ประจำปีงบประมาณ พ.ศ.2561 กับปีงบประมาณ พ.ศ.2560 ได้ดังนี้</t>
  </si>
  <si>
    <t>ตารางที่ 8 รายงานเปรียบเทียบต้นทุนต่อผลผลิต มหาวิทยาลัยราชภัฏลำปาง พ.ศ. 2560 และ 2561</t>
  </si>
  <si>
    <t>งบประมาณ พ.ศ. 2561</t>
  </si>
  <si>
    <t>งบประมาณ พ.ศ. 2560</t>
  </si>
  <si>
    <t>รวม ปี 60</t>
  </si>
  <si>
    <t>ไม่มีแยก แผ่นดิน รายได้</t>
  </si>
  <si>
    <t>5.ผลงานวิจัย</t>
  </si>
  <si>
    <t>6.ผลงานทำนุบำรุงศิลปวัฒนธรรม</t>
  </si>
  <si>
    <t>*หมายเหตุ</t>
  </si>
  <si>
    <t xml:space="preserve">               ค่าใช้จ่ายรวมตามงบการเงิน </t>
  </si>
  <si>
    <t xml:space="preserve">          </t>
  </si>
  <si>
    <t xml:space="preserve">               หัก ค่าใช้จ่ายที่ไม่เกี่ยวข้องในการผลิตผลผลิต</t>
  </si>
  <si>
    <t xml:space="preserve">               ค่าใช้จ่ายที่เกี่ยวข้องในการผลิตผลผลิต</t>
  </si>
  <si>
    <t>โครงการ/กิจกรรม</t>
  </si>
  <si>
    <t>14.งานวิจัยมีต้นทุนต่อหน่วย เพิ่มขึ้น 15.30% เนื่องจากมีเงินงบประมาณเพิ่มขึ้น</t>
  </si>
  <si>
    <t>13.การบริการวิชาการมีต้นทุนต่อหน่วย ลดลง -4.14% เนื่องจากมีจำนวนโครงการกิจกรรมที่เพิ่มขึ้น</t>
  </si>
  <si>
    <t>15.งานการทำนุบำรุงศิลปวัฒนธรรม มีต้นทุนต่อหน่วย ลดลง -18.91% เนื่องจากมีเงินงบประมาณลดลง</t>
  </si>
  <si>
    <t>การวิเคราะห์สาเหตุการเปลี่ยนแปลงของต้นทุนต่อผลผลิต</t>
  </si>
  <si>
    <t>1.ในการเปรียบเทียบต้นทุนต่อผลผลิตมีปริมาณลดลงเนื่องจาก ในปีงบประมาณ พ.ศ.2561 มีปริมาณ งบกลาง และค่าเสื่อมราคา เพิ่มขึ้น</t>
  </si>
  <si>
    <t>การวิเคราะห์สาเหตุการเปลี่ยนแปลงของรายได้</t>
  </si>
  <si>
    <t>การวิเคราะห์สาเหตุการเปลี่ยนแปลงของต้นทุน</t>
  </si>
  <si>
    <t>1.การจัดการเรียนการสอนกลุ่มสาขาวิชาครุศาสตร์/ศึกษาศาสตร์ระดับปริญญาตรี</t>
  </si>
  <si>
    <t>2.การจัดการเรียนการสอนกลุ่มสาขาวิชาครุศาสตร์/ศึกษาศาสตร์ระดับปริญญาโท</t>
  </si>
  <si>
    <t xml:space="preserve">  1.1 กลุ่มสาขาวิชาครุศาสตร์/ศึกษาศาสตร์</t>
  </si>
  <si>
    <t xml:space="preserve">  2.1 กลุ่มสาขาวิชาครุศาสตร์/ศึกษาศาสตร์</t>
  </si>
  <si>
    <t>2.การจัดการเรียนการสอนกลุ่มสาขาวิชาครุศาสตร์/ศึกษาศาสตร์ปริญญาโท ต้นทุนต่อหน่วย เพิ่มขึ้น 657.30% เนื่องจาก ปีงบประมาณ 2561 มีเงินนอกงบประมาณที่เพิ่มขึ้น</t>
  </si>
  <si>
    <t>สาขา/งาน:สาขาวิชาวิทยาศาสตร์กายภาพและชีวภาพและเทคโนโลยีสิ่งแวดล้อม</t>
  </si>
  <si>
    <t>สาขา/งาน:สาขาวิชาวิทยาศาสตร์กายภาพและชีวภาพทั่วไป</t>
  </si>
  <si>
    <t>สาขา/งาน:สาขาวิชาวิทยาศาสตร์กายภาพและชีวภาพและเทคโนโลยีการอาหาร</t>
  </si>
  <si>
    <t>3.การจัดการเรียนการสอนกลุ่มสาขาวิชาวิทยาศาสตร์กายภาพและชีวภาพระดับปริญญาตรี</t>
  </si>
  <si>
    <t>4.การจัดการเรียนการสอนกลุ่มสาขาวิชาวิทยาศาสตร์กายภาพและชีวภาพระดับปริญญาโท</t>
  </si>
  <si>
    <t xml:space="preserve">  1.2 กลุ่มสาขาวิชาวิทยาศาสตร์กายภาพและชีวภาพ</t>
  </si>
  <si>
    <t xml:space="preserve">  2.2 กลุ่มสาขาวิชาวิทยาศาสตร์กายภาพและชีวภาพ</t>
  </si>
  <si>
    <t>4.การจัดการเรียนการสอนกลุ่มสาขาวิชาวิทยาศาสตร์กายภาพและชีวภาพปริญญาโท ต้นทุนต่อหน่วย เพิ่มขึ้น 10.96% เนื่องจาก ปีงบประมาณ 2561 มีเงินงบประมาณที่เพิ่มขึ้น</t>
  </si>
  <si>
    <t>12.การจัดการเรียนการสอนกลุ่มสาขาวิชาเกษตรศาสตร์ระดับปริญญาตรี</t>
  </si>
  <si>
    <t xml:space="preserve">  1.6 กลุ่มสาขาวิชาเกษตรศาสตร์</t>
  </si>
  <si>
    <t>12.การจัดการเรียนการสอนกลุ่มวิชาเกษตรศาสตร์ปริญญาตรี ต้นทุนต่อหน่วย ลดลง -84.43% เนื่องจาก ปีงบประมาณ 2561 มีเงินงบประมาณที่ลดลง</t>
  </si>
  <si>
    <t>8.การจัดการเรียนการสอนกลุ่มสาขาวิชาบริหารระดับปริญญาตรี</t>
  </si>
  <si>
    <t>9.การจัดการเรียนการสอนกลุ่มสาขาวิชาบริหารระดับปริญญาโท</t>
  </si>
  <si>
    <t>10.การจัดการเรียนการสอนกลุ่มสาขาวิชาบริหารระดับปริญญาเอก</t>
  </si>
  <si>
    <t xml:space="preserve">  1.4 กลุ่มสาขาวิชาบริหาร</t>
  </si>
  <si>
    <t xml:space="preserve">  2.4 กลุ่มสาขาวิชาบริหาร</t>
  </si>
  <si>
    <t xml:space="preserve">  3.2 กลุ่มสาขาวิชาบริหาร</t>
  </si>
  <si>
    <t>8.การจัดการเรียนการสอนกลุ่มวิชาบริหารปริญญาตรี ต้นทุนต่อหน่วย ลดลง -75.89% เนื่องจาก ปีงบประมาณ 2561 มีเงินงบประมาณที่ลดลง</t>
  </si>
  <si>
    <t>9.การจัดการเรียนการสอนกลุ่มวิชาบริหารปริญญาโท ต้นทุนต่อหน่วย ลดลง -1.29% เนื่องจาก ปีงบประมาณ 2561 มีเงินงบประมาณที่ลดลง</t>
  </si>
  <si>
    <t xml:space="preserve">  1.5 กลุ่มสาขาวิชาวิศวกรรมศาสตร์</t>
  </si>
  <si>
    <t>11.การจัดการเรียนการสอนกลุ่มสาขาวิชาวิศวกรรมศาสตร์ระดับปริญญาตรี</t>
  </si>
  <si>
    <t>11.การจัดการเรียนการสอนกลุ่มวิชาวิศวกรรมศาสตร์ปริญญาตรี ต้นทุนต่อหน่วย ลดลง -34.91% เนื่องจาก ปีงบประมาณ 2561 มีเงินงบประมาณที่ลดลง</t>
  </si>
  <si>
    <t>จากตารางที่ 5 สามารถสรุปผลการเปรียบเทียบรายได้แยกประเภทตามแหล่งของเงิน ประจำปีงบประมาณ พ.ศ.2560 กับปีงบประมาณ พ.ศ.2561 พบว่ารายได้จากเงินนอก</t>
  </si>
  <si>
    <t>งบประมาณและรายได้จากแหล่งอื่นมีงบประมาณเพิ่มขึ้น</t>
  </si>
  <si>
    <t xml:space="preserve">               จากตารางที่ 6 สามารถสรุปผลการเปรียบเทียบตามประเภทค่าใช้จ่าย ประจำปีงบประมาณ พ.ศ.2561 กับปีงบประมาณ พ.ศ.2560 พบว่ามีจำนวนเงินจัดสรรงบประมาณแผ่นดิน พ.ศ.2561 ลดลง
</t>
  </si>
  <si>
    <t>1.การจัดการเรียนการสอนกลุ่มสาขาวิชาครุศาสตร์/ศึกษาศาสตร์ปริญญาตรี ต้นทุนต่อหน่วย ลดลง -63.65% เนื่องจาก ปีงบประมาณ 2561 มีปริมาณ FTES เพิ่มขึ้น</t>
  </si>
  <si>
    <t>3.การจัดการเรียนการสอนกลุ่มสาขาวิชาวิทยาศาสตร์กายภาพและชีวภาพปริญญาตรี ต้นทุนต่อหน่วย ลดลง -33.46% เนื่องจาก ปีงบประมาณ 2561 มีปริมาณ FTES เพิ่มขึ้น</t>
  </si>
  <si>
    <t>7.การจัดการเรียนการสอนกลุ่มวิชามนุษยศาสตร์และสังคมศาสตร์ปริญญาเอก ต้นทุนต่อหน่วย ลดลง -19.90% เนื่องจาก ปีงบประมาณ 2561 มีเงินงบประมาณที่ลดลง</t>
  </si>
  <si>
    <t>5.การจัดการเรียนการสอนกลุ่มสาขาวิชามนุษยศาสตร์และสังคมศาสตร์ปริญญาตรี ต้นทุนต่อหน่วย ลดลง -44.62% เนื่องจาก มีปริมาณ FTES ลดลง</t>
  </si>
  <si>
    <t>6.การจัดการเรียนการสอนกลุ่มสาขาวิชามนุษยศาสตร์และสังคมศาสตร์ปริญญาโท ต้นทุนต่อหน่วย ลดลง -94.59% เนื่องจาก มีปริมาณ FTES ลดลง</t>
  </si>
  <si>
    <t>10.การจัดการเรียนการสอนกลุ่มวิชาบริหารปริญญาเอก ต้นทุนต่อหน่วย เพิ่มขึ้น 158.16% เนื่องจาก ปีงบประมาณ 2561 มีเงินงบประมาณที่เพิ่มขึ้น</t>
  </si>
  <si>
    <t>16.สนับสนุนการจัดการเรียนการสอน มีต้นทุนต่อหน่วย ลดลง -4.61% เนื่องจากปริมาณ FTES ลดลง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</si>
</sst>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.000"/>
  </numFmts>
  <fonts count="24" x14ac:knownFonts="1">
    <font>
      <sz val="11"/>
      <color theme="1"/>
      <name val="Tahoma"/>
      <family val="2"/>
      <charset val="222"/>
      <scheme val="minor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sz val="14"/>
      <color rgb="FF333333"/>
      <name val="TH SarabunPSK"/>
      <family val="2"/>
    </font>
    <font>
      <sz val="14"/>
      <color rgb="FFC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rgb="FFFF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ACACA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99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5" fillId="0" borderId="0"/>
  </cellStyleXfs>
  <cellXfs count="216">
    <xf numFmtId="0" fontId="0" fillId="0" borderId="0" xfId="0"/>
    <xf numFmtId="4" fontId="2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4" fontId="3" fillId="0" borderId="1" xfId="0" applyNumberFormat="1" applyFont="1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4" fontId="1" fillId="0" borderId="0" xfId="0" applyNumberFormat="1" applyFont="1"/>
    <xf numFmtId="4" fontId="1" fillId="8" borderId="0" xfId="0" applyNumberFormat="1" applyFont="1" applyFill="1" applyAlignment="1">
      <alignment horizontal="right" wrapText="1"/>
    </xf>
    <xf numFmtId="0" fontId="1" fillId="8" borderId="0" xfId="0" applyFont="1" applyFill="1" applyAlignment="1">
      <alignment horizontal="right" wrapText="1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5" xfId="0" applyNumberFormat="1" applyFont="1" applyBorder="1"/>
    <xf numFmtId="4" fontId="7" fillId="0" borderId="4" xfId="0" applyNumberFormat="1" applyFont="1" applyBorder="1"/>
    <xf numFmtId="0" fontId="4" fillId="2" borderId="1" xfId="0" applyFont="1" applyFill="1" applyBorder="1" applyAlignment="1">
      <alignment horizontal="center" wrapText="1"/>
    </xf>
    <xf numFmtId="4" fontId="8" fillId="0" borderId="1" xfId="0" applyNumberFormat="1" applyFont="1" applyBorder="1"/>
    <xf numFmtId="0" fontId="9" fillId="0" borderId="1" xfId="0" applyFont="1" applyFill="1" applyBorder="1" applyAlignment="1">
      <alignment horizontal="right" vertical="center" wrapText="1"/>
    </xf>
    <xf numFmtId="4" fontId="8" fillId="0" borderId="2" xfId="0" applyNumberFormat="1" applyFont="1" applyBorder="1"/>
    <xf numFmtId="4" fontId="7" fillId="0" borderId="2" xfId="0" applyNumberFormat="1" applyFont="1" applyBorder="1"/>
    <xf numFmtId="4" fontId="7" fillId="0" borderId="0" xfId="0" applyNumberFormat="1" applyFont="1" applyBorder="1"/>
    <xf numFmtId="0" fontId="7" fillId="0" borderId="0" xfId="0" applyFont="1" applyAlignment="1"/>
    <xf numFmtId="0" fontId="10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/>
    <xf numFmtId="0" fontId="8" fillId="7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2" fillId="6" borderId="1" xfId="0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right"/>
    </xf>
    <xf numFmtId="4" fontId="3" fillId="9" borderId="1" xfId="0" applyNumberFormat="1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right"/>
    </xf>
    <xf numFmtId="0" fontId="2" fillId="11" borderId="8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  <xf numFmtId="0" fontId="1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0" fillId="9" borderId="1" xfId="0" applyFill="1" applyBorder="1"/>
    <xf numFmtId="4" fontId="0" fillId="9" borderId="1" xfId="0" applyNumberFormat="1" applyFill="1" applyBorder="1" applyAlignment="1">
      <alignment horizontal="right"/>
    </xf>
    <xf numFmtId="0" fontId="0" fillId="9" borderId="0" xfId="0" applyFill="1" applyBorder="1"/>
    <xf numFmtId="0" fontId="3" fillId="9" borderId="1" xfId="0" applyFont="1" applyFill="1" applyBorder="1" applyAlignment="1">
      <alignment horizontal="left" vertical="top" wrapText="1"/>
    </xf>
    <xf numFmtId="4" fontId="3" fillId="9" borderId="1" xfId="0" applyNumberFormat="1" applyFont="1" applyFill="1" applyBorder="1" applyAlignment="1">
      <alignment horizontal="right" vertical="top" wrapText="1"/>
    </xf>
    <xf numFmtId="0" fontId="3" fillId="9" borderId="1" xfId="0" applyFont="1" applyFill="1" applyBorder="1" applyAlignment="1">
      <alignment horizontal="right" vertical="top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top" wrapText="1"/>
    </xf>
    <xf numFmtId="4" fontId="4" fillId="13" borderId="1" xfId="0" applyNumberFormat="1" applyFont="1" applyFill="1" applyBorder="1" applyAlignment="1">
      <alignment horizontal="right" vertical="top" wrapText="1"/>
    </xf>
    <xf numFmtId="0" fontId="8" fillId="9" borderId="1" xfId="0" applyFont="1" applyFill="1" applyBorder="1"/>
    <xf numFmtId="0" fontId="0" fillId="0" borderId="1" xfId="0" applyBorder="1" applyAlignment="1">
      <alignment horizontal="center"/>
    </xf>
    <xf numFmtId="4" fontId="8" fillId="9" borderId="1" xfId="0" applyNumberFormat="1" applyFont="1" applyFill="1" applyBorder="1"/>
    <xf numFmtId="3" fontId="0" fillId="0" borderId="0" xfId="0" applyNumberFormat="1"/>
    <xf numFmtId="4" fontId="8" fillId="0" borderId="1" xfId="0" applyNumberFormat="1" applyFont="1" applyFill="1" applyBorder="1"/>
    <xf numFmtId="0" fontId="3" fillId="9" borderId="1" xfId="0" applyFont="1" applyFill="1" applyBorder="1" applyAlignment="1">
      <alignment vertical="top" wrapText="1"/>
    </xf>
    <xf numFmtId="0" fontId="6" fillId="9" borderId="0" xfId="0" applyFont="1" applyFill="1"/>
    <xf numFmtId="43" fontId="8" fillId="9" borderId="1" xfId="0" applyNumberFormat="1" applyFont="1" applyFill="1" applyBorder="1"/>
    <xf numFmtId="0" fontId="7" fillId="0" borderId="0" xfId="0" applyFont="1" applyAlignment="1">
      <alignment horizontal="center"/>
    </xf>
    <xf numFmtId="43" fontId="8" fillId="0" borderId="0" xfId="1" applyFont="1"/>
    <xf numFmtId="2" fontId="8" fillId="0" borderId="0" xfId="1" applyNumberFormat="1" applyFont="1"/>
    <xf numFmtId="4" fontId="8" fillId="0" borderId="0" xfId="0" applyNumberFormat="1" applyFont="1" applyFill="1"/>
    <xf numFmtId="4" fontId="13" fillId="0" borderId="0" xfId="0" applyNumberFormat="1" applyFont="1" applyFill="1"/>
    <xf numFmtId="0" fontId="4" fillId="12" borderId="1" xfId="0" applyFont="1" applyFill="1" applyBorder="1" applyAlignment="1">
      <alignment horizontal="left" vertical="top" wrapText="1"/>
    </xf>
    <xf numFmtId="4" fontId="4" fillId="12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8" fillId="0" borderId="0" xfId="0" applyFont="1" applyBorder="1"/>
    <xf numFmtId="0" fontId="7" fillId="0" borderId="4" xfId="0" applyFont="1" applyBorder="1"/>
    <xf numFmtId="0" fontId="8" fillId="0" borderId="4" xfId="0" applyFont="1" applyBorder="1"/>
    <xf numFmtId="0" fontId="0" fillId="0" borderId="5" xfId="0" applyBorder="1"/>
    <xf numFmtId="0" fontId="8" fillId="0" borderId="5" xfId="0" applyFont="1" applyBorder="1"/>
    <xf numFmtId="4" fontId="8" fillId="0" borderId="5" xfId="0" applyNumberFormat="1" applyFont="1" applyBorder="1"/>
    <xf numFmtId="4" fontId="10" fillId="6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43" fontId="8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43" fontId="14" fillId="0" borderId="0" xfId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 applyAlignment="1">
      <alignment horizontal="right"/>
    </xf>
    <xf numFmtId="0" fontId="14" fillId="0" borderId="0" xfId="2" applyFont="1" applyFill="1"/>
    <xf numFmtId="0" fontId="17" fillId="0" borderId="0" xfId="2" applyFont="1" applyFill="1" applyAlignment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/>
    <xf numFmtId="0" fontId="14" fillId="0" borderId="0" xfId="2" applyFont="1" applyFill="1" applyAlignment="1">
      <alignment horizontal="center"/>
    </xf>
    <xf numFmtId="0" fontId="14" fillId="0" borderId="0" xfId="2" applyFont="1" applyFill="1" applyAlignment="1"/>
    <xf numFmtId="0" fontId="16" fillId="0" borderId="0" xfId="2" applyFont="1" applyFill="1"/>
    <xf numFmtId="0" fontId="18" fillId="0" borderId="0" xfId="2" applyFont="1" applyFill="1" applyAlignment="1">
      <alignment horizontal="center"/>
    </xf>
    <xf numFmtId="43" fontId="14" fillId="14" borderId="0" xfId="1" applyFont="1" applyFill="1" applyAlignment="1">
      <alignment horizontal="center"/>
    </xf>
    <xf numFmtId="43" fontId="14" fillId="0" borderId="0" xfId="1" applyFont="1" applyFill="1"/>
    <xf numFmtId="2" fontId="14" fillId="0" borderId="0" xfId="1" applyNumberFormat="1" applyFont="1" applyFill="1"/>
    <xf numFmtId="43" fontId="14" fillId="0" borderId="0" xfId="1" applyFont="1" applyFill="1" applyBorder="1"/>
    <xf numFmtId="43" fontId="16" fillId="0" borderId="2" xfId="2" applyNumberFormat="1" applyFont="1" applyFill="1" applyBorder="1" applyAlignment="1">
      <alignment horizontal="center"/>
    </xf>
    <xf numFmtId="43" fontId="16" fillId="0" borderId="2" xfId="1" applyFont="1" applyFill="1" applyBorder="1"/>
    <xf numFmtId="43" fontId="16" fillId="0" borderId="0" xfId="1" applyFont="1" applyFill="1" applyBorder="1"/>
    <xf numFmtId="0" fontId="16" fillId="0" borderId="0" xfId="2" applyFont="1" applyFill="1" applyAlignment="1"/>
    <xf numFmtId="0" fontId="16" fillId="0" borderId="0" xfId="2" applyFont="1" applyFill="1" applyBorder="1" applyAlignment="1"/>
    <xf numFmtId="0" fontId="14" fillId="0" borderId="0" xfId="2" applyFont="1" applyFill="1" applyBorder="1" applyAlignment="1"/>
    <xf numFmtId="43" fontId="14" fillId="0" borderId="0" xfId="1" applyFont="1" applyFill="1" applyBorder="1" applyAlignment="1"/>
    <xf numFmtId="43" fontId="16" fillId="0" borderId="4" xfId="2" applyNumberFormat="1" applyFont="1" applyFill="1" applyBorder="1" applyAlignment="1">
      <alignment horizontal="center"/>
    </xf>
    <xf numFmtId="43" fontId="16" fillId="0" borderId="4" xfId="1" applyFont="1" applyFill="1" applyBorder="1"/>
    <xf numFmtId="43" fontId="8" fillId="0" borderId="4" xfId="0" applyNumberFormat="1" applyFont="1" applyBorder="1"/>
    <xf numFmtId="43" fontId="8" fillId="0" borderId="2" xfId="0" applyNumberFormat="1" applyFont="1" applyBorder="1"/>
    <xf numFmtId="43" fontId="7" fillId="0" borderId="0" xfId="0" applyNumberFormat="1" applyFont="1"/>
    <xf numFmtId="4" fontId="20" fillId="0" borderId="5" xfId="0" applyNumberFormat="1" applyFont="1" applyBorder="1"/>
    <xf numFmtId="0" fontId="0" fillId="0" borderId="1" xfId="0" applyBorder="1" applyAlignment="1">
      <alignment horizontal="center"/>
    </xf>
    <xf numFmtId="4" fontId="8" fillId="9" borderId="0" xfId="0" applyNumberFormat="1" applyFont="1" applyFill="1"/>
    <xf numFmtId="0" fontId="6" fillId="0" borderId="0" xfId="0" quotePrefix="1" applyFont="1"/>
    <xf numFmtId="4" fontId="21" fillId="0" borderId="1" xfId="0" applyNumberFormat="1" applyFont="1" applyBorder="1"/>
    <xf numFmtId="0" fontId="10" fillId="6" borderId="1" xfId="0" applyFont="1" applyFill="1" applyBorder="1" applyAlignment="1">
      <alignment horizontal="center" wrapText="1"/>
    </xf>
    <xf numFmtId="4" fontId="10" fillId="6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0" fontId="6" fillId="12" borderId="1" xfId="0" applyFont="1" applyFill="1" applyBorder="1"/>
    <xf numFmtId="43" fontId="6" fillId="0" borderId="0" xfId="0" applyNumberFormat="1" applyFont="1"/>
    <xf numFmtId="4" fontId="6" fillId="0" borderId="0" xfId="0" applyNumberFormat="1" applyFont="1"/>
    <xf numFmtId="0" fontId="9" fillId="9" borderId="1" xfId="0" applyFont="1" applyFill="1" applyBorder="1" applyAlignment="1">
      <alignment horizontal="left" vertical="center" wrapText="1"/>
    </xf>
    <xf numFmtId="4" fontId="9" fillId="9" borderId="1" xfId="0" applyNumberFormat="1" applyFont="1" applyFill="1" applyBorder="1" applyAlignment="1">
      <alignment horizontal="right" vertical="center" wrapText="1"/>
    </xf>
    <xf numFmtId="4" fontId="21" fillId="9" borderId="1" xfId="0" applyNumberFormat="1" applyFont="1" applyFill="1" applyBorder="1"/>
    <xf numFmtId="0" fontId="21" fillId="9" borderId="1" xfId="0" applyFont="1" applyFill="1" applyBorder="1"/>
    <xf numFmtId="0" fontId="21" fillId="9" borderId="1" xfId="0" applyFont="1" applyFill="1" applyBorder="1" applyAlignment="1">
      <alignment horizontal="center" vertical="center"/>
    </xf>
    <xf numFmtId="43" fontId="21" fillId="9" borderId="0" xfId="0" applyNumberFormat="1" applyFont="1" applyFill="1"/>
    <xf numFmtId="0" fontId="10" fillId="12" borderId="1" xfId="0" applyFont="1" applyFill="1" applyBorder="1" applyAlignment="1">
      <alignment horizontal="center" vertical="center" wrapText="1"/>
    </xf>
    <xf numFmtId="4" fontId="10" fillId="12" borderId="1" xfId="0" applyNumberFormat="1" applyFont="1" applyFill="1" applyBorder="1" applyAlignment="1">
      <alignment horizontal="right" vertical="top" wrapText="1"/>
    </xf>
    <xf numFmtId="0" fontId="10" fillId="12" borderId="1" xfId="0" applyFont="1" applyFill="1" applyBorder="1" applyAlignment="1">
      <alignment vertical="top" wrapText="1"/>
    </xf>
    <xf numFmtId="4" fontId="22" fillId="12" borderId="1" xfId="0" applyNumberFormat="1" applyFont="1" applyFill="1" applyBorder="1"/>
    <xf numFmtId="0" fontId="22" fillId="12" borderId="1" xfId="0" applyFont="1" applyFill="1" applyBorder="1"/>
    <xf numFmtId="4" fontId="8" fillId="0" borderId="3" xfId="0" applyNumberFormat="1" applyFont="1" applyBorder="1" applyAlignment="1">
      <alignment horizontal="right"/>
    </xf>
    <xf numFmtId="0" fontId="21" fillId="9" borderId="1" xfId="0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vertical="top"/>
    </xf>
    <xf numFmtId="4" fontId="4" fillId="9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9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4" fontId="0" fillId="15" borderId="1" xfId="0" applyNumberFormat="1" applyFill="1" applyBorder="1" applyAlignment="1">
      <alignment horizontal="right"/>
    </xf>
    <xf numFmtId="4" fontId="13" fillId="9" borderId="1" xfId="1" applyNumberFormat="1" applyFont="1" applyFill="1" applyBorder="1" applyAlignment="1">
      <alignment vertical="center"/>
    </xf>
    <xf numFmtId="187" fontId="6" fillId="0" borderId="0" xfId="0" applyNumberFormat="1" applyFont="1"/>
    <xf numFmtId="0" fontId="6" fillId="0" borderId="0" xfId="0" applyNumberFormat="1" applyFont="1"/>
    <xf numFmtId="187" fontId="6" fillId="9" borderId="0" xfId="0" applyNumberFormat="1" applyFont="1" applyFill="1"/>
    <xf numFmtId="4" fontId="6" fillId="9" borderId="0" xfId="0" applyNumberFormat="1" applyFont="1" applyFill="1"/>
    <xf numFmtId="4" fontId="0" fillId="15" borderId="1" xfId="0" applyNumberFormat="1" applyFill="1" applyBorder="1"/>
    <xf numFmtId="4" fontId="0" fillId="0" borderId="1" xfId="0" applyNumberFormat="1" applyBorder="1"/>
    <xf numFmtId="4" fontId="8" fillId="0" borderId="1" xfId="0" applyNumberFormat="1" applyFont="1" applyBorder="1" applyAlignment="1">
      <alignment horizontal="right" vertical="top" wrapText="1"/>
    </xf>
    <xf numFmtId="4" fontId="4" fillId="0" borderId="0" xfId="0" applyNumberFormat="1" applyFont="1"/>
    <xf numFmtId="4" fontId="4" fillId="10" borderId="1" xfId="0" applyNumberFormat="1" applyFont="1" applyFill="1" applyBorder="1" applyAlignment="1">
      <alignment wrapText="1"/>
    </xf>
    <xf numFmtId="4" fontId="4" fillId="10" borderId="1" xfId="0" applyNumberFormat="1" applyFont="1" applyFill="1" applyBorder="1" applyAlignment="1">
      <alignment horizontal="center" wrapText="1"/>
    </xf>
    <xf numFmtId="4" fontId="3" fillId="10" borderId="1" xfId="0" applyNumberFormat="1" applyFont="1" applyFill="1" applyBorder="1" applyAlignment="1">
      <alignment wrapText="1"/>
    </xf>
    <xf numFmtId="4" fontId="3" fillId="10" borderId="0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4" fontId="3" fillId="4" borderId="0" xfId="0" applyNumberFormat="1" applyFont="1" applyFill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4" fillId="4" borderId="0" xfId="0" applyNumberFormat="1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4" fontId="4" fillId="0" borderId="1" xfId="0" applyNumberFormat="1" applyFont="1" applyBorder="1"/>
    <xf numFmtId="4" fontId="8" fillId="0" borderId="0" xfId="0" applyNumberFormat="1" applyFont="1" applyBorder="1"/>
    <xf numFmtId="4" fontId="7" fillId="0" borderId="0" xfId="0" applyNumberFormat="1" applyFont="1"/>
    <xf numFmtId="4" fontId="4" fillId="4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4" fontId="3" fillId="0" borderId="1" xfId="0" applyNumberFormat="1" applyFont="1" applyFill="1" applyBorder="1" applyAlignment="1">
      <alignment horizontal="left" vertical="center" wrapText="1"/>
    </xf>
    <xf numFmtId="4" fontId="4" fillId="9" borderId="1" xfId="0" applyNumberFormat="1" applyFont="1" applyFill="1" applyBorder="1" applyAlignment="1">
      <alignment horizontal="center" vertical="top" wrapText="1"/>
    </xf>
    <xf numFmtId="4" fontId="23" fillId="0" borderId="1" xfId="0" applyNumberFormat="1" applyFont="1" applyBorder="1" applyAlignment="1">
      <alignment horizontal="right" vertical="top" wrapText="1"/>
    </xf>
    <xf numFmtId="2" fontId="6" fillId="0" borderId="0" xfId="0" applyNumberFormat="1" applyFont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5" borderId="1" xfId="0" applyFill="1" applyBorder="1" applyAlignment="1">
      <alignment horizontal="center"/>
    </xf>
  </cellXfs>
  <cellStyles count="3">
    <cellStyle name="Normal_งบการเงิน-เทศบาลตำบลเชียงกลาง49-2" xfId="2" xr:uid="{00000000-0005-0000-0000-000000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2;&#3610;&#3610;&#3592;&#3633;&#3604;&#3607;&#3635;&#3605;&#3657;&#3609;&#3607;&#3640;&#3609;&#3612;&#3621;&#3612;&#3621;&#3636;&#3605;/&#3611;&#3637;%2060/&#3605;&#3657;&#3609;&#3607;&#3640;&#3609;&#3605;&#3656;&#3629;&#3612;&#3621;&#3612;&#3621;&#3636;&#3605;&#3611;&#3637;&#3591;&#3610;&#3611;&#3619;&#3632;&#3617;&#3634;&#3603;%2025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01\AppData\Roaming\Microsoft\Excel\1.1-&#3586;&#3657;&#3629;&#3617;&#3641;&#3621;&#3592;&#3619;&#3636;&#3591;-&#3592;&#3635;&#3609;&#3623;&#3609;&#3621;&#3591;&#3607;&#3632;&#3648;&#3610;&#3637;&#3618;&#3609;1_60Ftes-3&#3605;&#3588;60-8.30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ftss"/>
      <sheetName val="ตาราง3(ทด)"/>
      <sheetName val="Sheet3"/>
      <sheetName val="Sheet1"/>
      <sheetName val="t_3"/>
      <sheetName val="t5_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82379774.431003109</v>
          </cell>
          <cell r="C5">
            <v>19199000.981693611</v>
          </cell>
        </row>
        <row r="6">
          <cell r="B6">
            <v>42608119.646071456</v>
          </cell>
          <cell r="C6">
            <v>9152247.3990136012</v>
          </cell>
        </row>
        <row r="7">
          <cell r="B7">
            <v>119134478.90918507</v>
          </cell>
          <cell r="C7">
            <v>24532474.741163611</v>
          </cell>
        </row>
        <row r="8">
          <cell r="B8">
            <v>53304299.627797432</v>
          </cell>
          <cell r="C8">
            <v>11497503.837595198</v>
          </cell>
        </row>
        <row r="9">
          <cell r="B9">
            <v>24597655.150461949</v>
          </cell>
          <cell r="C9">
            <v>5441180.1068557464</v>
          </cell>
        </row>
        <row r="10">
          <cell r="B10">
            <v>4069353.9726088783</v>
          </cell>
          <cell r="C10">
            <v>1018357.7761954673</v>
          </cell>
        </row>
        <row r="12">
          <cell r="B12">
            <v>7522392.2955313288</v>
          </cell>
          <cell r="C12">
            <v>1968939.6777397969</v>
          </cell>
        </row>
        <row r="13">
          <cell r="B13">
            <v>132662.40330824596</v>
          </cell>
          <cell r="C13">
            <v>20167.453462230776</v>
          </cell>
        </row>
        <row r="14">
          <cell r="B14">
            <v>145351.04303856718</v>
          </cell>
          <cell r="C14">
            <v>803208.93136783817</v>
          </cell>
        </row>
        <row r="15">
          <cell r="B15">
            <v>444210.91487142199</v>
          </cell>
          <cell r="C15">
            <v>1002687.5224006195</v>
          </cell>
        </row>
        <row r="17">
          <cell r="B17">
            <v>1716090.1240592236</v>
          </cell>
          <cell r="C17">
            <v>1212879.504833654</v>
          </cell>
        </row>
        <row r="18">
          <cell r="B18">
            <v>848971.48206332175</v>
          </cell>
          <cell r="C18">
            <v>787172.06767862616</v>
          </cell>
        </row>
        <row r="19">
          <cell r="B19">
            <v>10122750</v>
          </cell>
          <cell r="C19">
            <v>2214160</v>
          </cell>
        </row>
        <row r="20">
          <cell r="B20">
            <v>2294100</v>
          </cell>
          <cell r="C20">
            <v>703000</v>
          </cell>
        </row>
        <row r="21">
          <cell r="B21">
            <v>9319190</v>
          </cell>
          <cell r="C21">
            <v>3300000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ภาพรวม(ป.ตรี)"/>
      <sheetName val="1.2ภาพรวม บศ."/>
      <sheetName val="2.1ครุ(ป.ตรี)"/>
      <sheetName val="2.2ครุ (บศ)"/>
      <sheetName val="3.มนุษย์(ป.ตรี)"/>
      <sheetName val="4.เทคโน(ป.ตรี)"/>
      <sheetName val="5.1วิทย์(ป.ตรี)"/>
      <sheetName val="5.2วิทย์ (บศ.)"/>
      <sheetName val="6.1วจ. (ป.ตรี)"/>
      <sheetName val="6.2วจ. (บศ)"/>
      <sheetName val="7.เกษตร(ป.ตรี)"/>
      <sheetName val="8.GE(ป.ตรี)"/>
      <sheetName val="Sheet1"/>
    </sheetNames>
    <sheetDataSet>
      <sheetData sheetId="0"/>
      <sheetData sheetId="1"/>
      <sheetData sheetId="2">
        <row r="414">
          <cell r="P414">
            <v>609.19444444444366</v>
          </cell>
        </row>
      </sheetData>
      <sheetData sheetId="3">
        <row r="27">
          <cell r="P27">
            <v>80.208333333333343</v>
          </cell>
        </row>
      </sheetData>
      <sheetData sheetId="4">
        <row r="655">
          <cell r="P655">
            <v>876.33333333333474</v>
          </cell>
        </row>
      </sheetData>
      <sheetData sheetId="5">
        <row r="222">
          <cell r="P222">
            <v>179.69444444444431</v>
          </cell>
        </row>
      </sheetData>
      <sheetData sheetId="6">
        <row r="282">
          <cell r="P282">
            <v>352.36111111111126</v>
          </cell>
        </row>
      </sheetData>
      <sheetData sheetId="7">
        <row r="8">
          <cell r="P8">
            <v>0.58333333333333337</v>
          </cell>
        </row>
      </sheetData>
      <sheetData sheetId="8">
        <row r="318">
          <cell r="P318">
            <v>374.36111111111131</v>
          </cell>
        </row>
      </sheetData>
      <sheetData sheetId="9">
        <row r="6">
          <cell r="P6">
            <v>5.625</v>
          </cell>
        </row>
      </sheetData>
      <sheetData sheetId="10">
        <row r="36">
          <cell r="P36">
            <v>32.916666666666664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workbookViewId="0">
      <selection activeCell="F8" sqref="F8"/>
    </sheetView>
  </sheetViews>
  <sheetFormatPr defaultRowHeight="18.75" x14ac:dyDescent="0.3"/>
  <cols>
    <col min="1" max="6" width="9" style="13"/>
    <col min="7" max="7" width="11.625" style="13" bestFit="1" customWidth="1"/>
    <col min="8" max="8" width="9" style="13"/>
    <col min="9" max="9" width="5.75" style="13" customWidth="1"/>
    <col min="10" max="10" width="17.75" style="13" customWidth="1"/>
    <col min="11" max="11" width="14.25" style="13" customWidth="1"/>
    <col min="12" max="12" width="9" style="13"/>
    <col min="13" max="13" width="11.625" style="13" bestFit="1" customWidth="1"/>
    <col min="14" max="14" width="10.125" style="13" bestFit="1" customWidth="1"/>
    <col min="15" max="15" width="11.75" style="13" bestFit="1" customWidth="1"/>
    <col min="16" max="16" width="11.625" style="13" bestFit="1" customWidth="1"/>
    <col min="17" max="17" width="11.75" style="13" bestFit="1" customWidth="1"/>
    <col min="18" max="16384" width="9" style="13"/>
  </cols>
  <sheetData>
    <row r="1" spans="1:17" x14ac:dyDescent="0.3">
      <c r="A1" s="200" t="s">
        <v>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9"/>
      <c r="N1" s="39"/>
      <c r="O1" s="39"/>
    </row>
    <row r="2" spans="1:17" x14ac:dyDescent="0.3">
      <c r="A2" s="200" t="s">
        <v>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39"/>
      <c r="N2" s="39"/>
      <c r="O2" s="39"/>
    </row>
    <row r="3" spans="1:17" x14ac:dyDescent="0.3">
      <c r="A3" s="200" t="s">
        <v>119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39"/>
      <c r="N3" s="39"/>
      <c r="O3" s="39"/>
    </row>
    <row r="4" spans="1:17" x14ac:dyDescent="0.3">
      <c r="A4" s="26" t="s">
        <v>14</v>
      </c>
    </row>
    <row r="5" spans="1:17" x14ac:dyDescent="0.3">
      <c r="A5" s="26"/>
      <c r="E5" s="26" t="s">
        <v>73</v>
      </c>
    </row>
    <row r="6" spans="1:17" x14ac:dyDescent="0.3">
      <c r="K6" s="27"/>
    </row>
    <row r="7" spans="1:17" x14ac:dyDescent="0.3">
      <c r="A7" s="26" t="s">
        <v>15</v>
      </c>
      <c r="G7" s="3"/>
      <c r="K7" s="28"/>
    </row>
    <row r="8" spans="1:17" x14ac:dyDescent="0.3">
      <c r="A8" s="26"/>
      <c r="I8" s="82"/>
      <c r="J8" s="90">
        <v>2561</v>
      </c>
      <c r="K8" s="29"/>
    </row>
    <row r="9" spans="1:17" x14ac:dyDescent="0.3">
      <c r="B9" s="13" t="s">
        <v>9</v>
      </c>
      <c r="I9" s="14"/>
      <c r="J9" s="14">
        <f>'t5'!G29</f>
        <v>628201225.26999998</v>
      </c>
    </row>
    <row r="10" spans="1:17" x14ac:dyDescent="0.3">
      <c r="B10" s="13" t="s">
        <v>120</v>
      </c>
      <c r="I10" s="14"/>
      <c r="J10" s="14">
        <f>'t5'!G30</f>
        <v>141836189.25</v>
      </c>
    </row>
    <row r="11" spans="1:17" x14ac:dyDescent="0.3">
      <c r="A11" s="26"/>
      <c r="B11" s="13" t="s">
        <v>22</v>
      </c>
      <c r="C11" s="26"/>
      <c r="D11" s="26"/>
      <c r="E11" s="26"/>
      <c r="F11" s="26"/>
      <c r="I11" s="14"/>
      <c r="J11" s="14">
        <f>'t5'!G31</f>
        <v>95270423.890000001</v>
      </c>
    </row>
    <row r="12" spans="1:17" ht="19.5" thickBot="1" x14ac:dyDescent="0.35">
      <c r="A12" s="84" t="s">
        <v>75</v>
      </c>
      <c r="B12" s="84"/>
      <c r="C12" s="84"/>
      <c r="D12" s="84"/>
      <c r="E12" s="84"/>
      <c r="F12" s="84"/>
      <c r="G12" s="85"/>
      <c r="H12" s="85"/>
      <c r="I12" s="42"/>
      <c r="J12" s="32">
        <f>SUM(J9:J11)</f>
        <v>865307838.40999997</v>
      </c>
    </row>
    <row r="13" spans="1:17" ht="19.5" thickTop="1" x14ac:dyDescent="0.3">
      <c r="A13" s="26" t="s">
        <v>54</v>
      </c>
      <c r="H13" s="83"/>
      <c r="I13" s="14"/>
      <c r="J13" s="14"/>
    </row>
    <row r="14" spans="1:17" x14ac:dyDescent="0.3">
      <c r="A14" s="86"/>
      <c r="B14" s="87" t="s">
        <v>63</v>
      </c>
      <c r="C14" s="87"/>
      <c r="D14" s="87"/>
      <c r="E14" s="87"/>
      <c r="F14" s="87"/>
      <c r="G14" s="87"/>
      <c r="H14" s="87"/>
      <c r="I14" s="88"/>
      <c r="J14" s="122">
        <f>'t2'!E9</f>
        <v>522124967.60999995</v>
      </c>
      <c r="Q14" s="91">
        <f>SUM(O14:P14)</f>
        <v>0</v>
      </c>
    </row>
    <row r="15" spans="1:17" ht="19.5" thickBot="1" x14ac:dyDescent="0.35">
      <c r="A15" s="84" t="s">
        <v>67</v>
      </c>
      <c r="B15" s="85"/>
      <c r="C15" s="85"/>
      <c r="D15" s="85"/>
      <c r="E15" s="85"/>
      <c r="F15" s="85"/>
      <c r="G15" s="85"/>
      <c r="H15" s="85"/>
      <c r="I15" s="42"/>
      <c r="J15" s="32">
        <f>SUM(J12-J14)</f>
        <v>343182870.80000001</v>
      </c>
      <c r="O15" s="91"/>
      <c r="P15" s="91"/>
      <c r="Q15" s="91">
        <f t="shared" ref="Q15:Q16" si="0">SUM(O15:P15)</f>
        <v>0</v>
      </c>
    </row>
    <row r="16" spans="1:17" ht="19.5" thickTop="1" x14ac:dyDescent="0.3">
      <c r="Q16" s="91">
        <f t="shared" si="0"/>
        <v>0</v>
      </c>
    </row>
    <row r="17" spans="17:17" x14ac:dyDescent="0.3">
      <c r="Q17" s="14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7"/>
  <sheetViews>
    <sheetView workbookViewId="0">
      <selection activeCell="G17" sqref="G17"/>
    </sheetView>
  </sheetViews>
  <sheetFormatPr defaultRowHeight="14.25" x14ac:dyDescent="0.2"/>
  <cols>
    <col min="1" max="1" width="8" bestFit="1" customWidth="1"/>
    <col min="2" max="2" width="10.625" bestFit="1" customWidth="1"/>
  </cols>
  <sheetData>
    <row r="1" spans="1:4" ht="39" x14ac:dyDescent="0.3">
      <c r="A1" s="50" t="s">
        <v>77</v>
      </c>
      <c r="B1" s="50" t="s">
        <v>78</v>
      </c>
      <c r="C1" s="50" t="s">
        <v>79</v>
      </c>
      <c r="D1" s="50" t="s">
        <v>80</v>
      </c>
    </row>
    <row r="2" spans="1:4" ht="39" x14ac:dyDescent="0.3">
      <c r="A2" s="52" t="s">
        <v>81</v>
      </c>
      <c r="B2" s="53">
        <v>75476336</v>
      </c>
      <c r="C2" s="54">
        <v>9.77</v>
      </c>
      <c r="D2" s="51"/>
    </row>
    <row r="3" spans="1:4" ht="39" x14ac:dyDescent="0.3">
      <c r="A3" s="52" t="s">
        <v>82</v>
      </c>
      <c r="B3" s="53">
        <v>134437344</v>
      </c>
      <c r="C3" s="54">
        <v>17.399999999999999</v>
      </c>
      <c r="D3" s="51"/>
    </row>
    <row r="4" spans="1:4" ht="19.5" x14ac:dyDescent="0.3">
      <c r="A4" s="52"/>
      <c r="B4" s="53"/>
      <c r="C4" s="54"/>
      <c r="D4" s="51"/>
    </row>
    <row r="5" spans="1:4" ht="39" x14ac:dyDescent="0.3">
      <c r="A5" s="52" t="s">
        <v>83</v>
      </c>
      <c r="B5" s="53">
        <v>217713800</v>
      </c>
      <c r="C5" s="54">
        <v>28.17</v>
      </c>
      <c r="D5" s="51"/>
    </row>
    <row r="6" spans="1:4" ht="39" x14ac:dyDescent="0.3">
      <c r="A6" s="52" t="s">
        <v>84</v>
      </c>
      <c r="B6" s="53">
        <v>13864900</v>
      </c>
      <c r="C6" s="54">
        <v>1.79</v>
      </c>
      <c r="D6" s="51"/>
    </row>
    <row r="7" spans="1:4" ht="19.5" x14ac:dyDescent="0.3">
      <c r="A7" s="55" t="s">
        <v>85</v>
      </c>
      <c r="B7" s="53">
        <f>SUM(B2:B6)</f>
        <v>441492380</v>
      </c>
      <c r="C7" s="54">
        <v>100</v>
      </c>
      <c r="D7" s="5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"/>
  <sheetViews>
    <sheetView workbookViewId="0">
      <selection activeCell="B18" sqref="B18:F18"/>
    </sheetView>
  </sheetViews>
  <sheetFormatPr defaultRowHeight="14.25" x14ac:dyDescent="0.2"/>
  <cols>
    <col min="1" max="1" width="14.875" customWidth="1"/>
    <col min="2" max="2" width="18.75" customWidth="1"/>
    <col min="3" max="3" width="18.125" customWidth="1"/>
    <col min="4" max="4" width="17.75" customWidth="1"/>
    <col min="5" max="5" width="22.125" customWidth="1"/>
    <col min="7" max="7" width="15.25" customWidth="1"/>
  </cols>
  <sheetData>
    <row r="1" spans="1:5" x14ac:dyDescent="0.2">
      <c r="B1" t="s">
        <v>33</v>
      </c>
      <c r="C1" t="s">
        <v>8</v>
      </c>
    </row>
    <row r="2" spans="1:5" ht="19.5" x14ac:dyDescent="0.3">
      <c r="A2" t="s">
        <v>34</v>
      </c>
      <c r="B2" s="16">
        <v>535320385.22000003</v>
      </c>
      <c r="C2" s="15">
        <v>92822164.129999995</v>
      </c>
      <c r="E2" s="15">
        <f>SUM(B2:D2)</f>
        <v>628142549.35000002</v>
      </c>
    </row>
    <row r="3" spans="1:5" x14ac:dyDescent="0.2">
      <c r="A3" t="s">
        <v>35</v>
      </c>
      <c r="B3" s="15">
        <v>193707669.46000001</v>
      </c>
      <c r="C3" s="15">
        <v>3112628.65</v>
      </c>
      <c r="E3" s="15">
        <f>SUM(B3:D3)</f>
        <v>196820298.11000001</v>
      </c>
    </row>
    <row r="4" spans="1:5" ht="19.5" x14ac:dyDescent="0.3">
      <c r="A4" t="s">
        <v>36</v>
      </c>
      <c r="C4" s="18">
        <f>SUM(C18:F18)</f>
        <v>6392005.8600000003</v>
      </c>
      <c r="E4" s="15">
        <f>SUM(B4:D4)</f>
        <v>6392005.8600000003</v>
      </c>
    </row>
    <row r="5" spans="1:5" x14ac:dyDescent="0.2">
      <c r="B5" s="15">
        <f>SUM(B3:B4)</f>
        <v>193707669.46000001</v>
      </c>
      <c r="C5" s="15">
        <f>SUM(C3:C4)</f>
        <v>9504634.5099999998</v>
      </c>
      <c r="E5" s="15">
        <f>SUM(B5:D5)</f>
        <v>203212303.97</v>
      </c>
    </row>
    <row r="6" spans="1:5" x14ac:dyDescent="0.2">
      <c r="B6" s="15">
        <f>SUM(B2-B5)</f>
        <v>341612715.75999999</v>
      </c>
      <c r="C6" s="15">
        <f>SUM(C2-C5)</f>
        <v>83317529.61999999</v>
      </c>
      <c r="E6" s="15">
        <f>SUM(B6:D6)</f>
        <v>424930245.38</v>
      </c>
    </row>
    <row r="8" spans="1:5" ht="19.5" x14ac:dyDescent="0.3">
      <c r="B8" s="1"/>
      <c r="C8" s="1"/>
      <c r="D8" s="1"/>
      <c r="E8" s="1"/>
    </row>
    <row r="15" spans="1:5" ht="19.5" x14ac:dyDescent="0.3">
      <c r="C15" s="17">
        <v>6669278.3600000003</v>
      </c>
    </row>
    <row r="17" spans="2:6" x14ac:dyDescent="0.2">
      <c r="C17" t="s">
        <v>38</v>
      </c>
      <c r="D17" t="s">
        <v>39</v>
      </c>
      <c r="E17" t="s">
        <v>40</v>
      </c>
    </row>
    <row r="18" spans="2:6" ht="19.5" x14ac:dyDescent="0.3">
      <c r="B18" t="s">
        <v>37</v>
      </c>
      <c r="C18" s="18">
        <v>6040967.8600000003</v>
      </c>
      <c r="D18" s="18"/>
      <c r="E18" s="18">
        <v>351038</v>
      </c>
      <c r="F18" s="19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0"/>
  <sheetViews>
    <sheetView topLeftCell="A16" workbookViewId="0">
      <selection activeCell="B6" sqref="B6"/>
    </sheetView>
  </sheetViews>
  <sheetFormatPr defaultRowHeight="14.25" x14ac:dyDescent="0.2"/>
  <cols>
    <col min="6" max="6" width="22.5" customWidth="1"/>
    <col min="7" max="7" width="12.125" customWidth="1"/>
    <col min="8" max="8" width="12.625" bestFit="1" customWidth="1"/>
    <col min="9" max="9" width="12.125" customWidth="1"/>
    <col min="10" max="10" width="9" customWidth="1"/>
  </cols>
  <sheetData>
    <row r="1" spans="1:9" ht="18.75" x14ac:dyDescent="0.3">
      <c r="A1" s="26" t="s">
        <v>104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3">
      <c r="A2" s="13"/>
      <c r="B2" s="13"/>
      <c r="C2" s="13"/>
      <c r="D2" s="13"/>
      <c r="E2" s="13"/>
      <c r="F2" s="13"/>
      <c r="G2" s="26"/>
      <c r="H2" s="26"/>
      <c r="I2" s="26" t="s">
        <v>10</v>
      </c>
    </row>
    <row r="3" spans="1:9" ht="18.75" x14ac:dyDescent="0.3">
      <c r="A3" s="26" t="s">
        <v>15</v>
      </c>
      <c r="B3" s="13"/>
      <c r="C3" s="13"/>
      <c r="D3" s="13"/>
      <c r="E3" s="13"/>
      <c r="F3" s="13"/>
      <c r="G3" s="3"/>
      <c r="H3" s="3"/>
      <c r="I3" s="3"/>
    </row>
    <row r="4" spans="1:9" ht="18.75" x14ac:dyDescent="0.3">
      <c r="A4" s="26"/>
      <c r="B4" s="13"/>
      <c r="C4" s="13"/>
      <c r="D4" s="13"/>
      <c r="E4" s="13"/>
      <c r="F4" s="13"/>
      <c r="G4" s="82">
        <v>2560</v>
      </c>
      <c r="H4" s="82">
        <v>2559</v>
      </c>
      <c r="I4" s="26" t="s">
        <v>69</v>
      </c>
    </row>
    <row r="5" spans="1:9" ht="18.75" x14ac:dyDescent="0.3">
      <c r="A5" s="13"/>
      <c r="B5" s="26" t="s">
        <v>9</v>
      </c>
      <c r="C5" s="13"/>
      <c r="D5" s="13"/>
      <c r="E5" s="13"/>
      <c r="F5" s="13"/>
      <c r="G5" s="13"/>
      <c r="H5" s="13"/>
      <c r="I5" s="13"/>
    </row>
    <row r="6" spans="1:9" ht="18.75" x14ac:dyDescent="0.3">
      <c r="A6" s="13"/>
      <c r="B6" s="13" t="s">
        <v>16</v>
      </c>
      <c r="C6" s="13"/>
      <c r="D6" s="13"/>
      <c r="E6" s="13"/>
      <c r="F6" s="13"/>
      <c r="G6" s="29">
        <v>72905623.780000001</v>
      </c>
      <c r="H6" s="78">
        <v>74266221.549999997</v>
      </c>
      <c r="I6" s="14">
        <f>SUM(G6-H6)/H6*100</f>
        <v>-1.8320546563473254</v>
      </c>
    </row>
    <row r="7" spans="1:9" ht="18.75" x14ac:dyDescent="0.3">
      <c r="A7" s="13"/>
      <c r="B7" s="13" t="s">
        <v>17</v>
      </c>
      <c r="C7" s="13"/>
      <c r="D7" s="13"/>
      <c r="E7" s="13"/>
      <c r="F7" s="13"/>
      <c r="G7" s="29">
        <v>303879875.86000001</v>
      </c>
      <c r="H7" s="78">
        <v>225963325.46000001</v>
      </c>
      <c r="I7" s="14">
        <f t="shared" ref="I7:I45" si="0">SUM(G7-H7)/H7*100</f>
        <v>34.481945351699466</v>
      </c>
    </row>
    <row r="8" spans="1:9" ht="18.75" x14ac:dyDescent="0.3">
      <c r="A8" s="13"/>
      <c r="B8" s="13" t="s">
        <v>18</v>
      </c>
      <c r="C8" s="13"/>
      <c r="D8" s="13"/>
      <c r="E8" s="13"/>
      <c r="F8" s="13"/>
      <c r="G8" s="29">
        <v>46458843.490000002</v>
      </c>
      <c r="H8" s="78">
        <v>56016630.189999998</v>
      </c>
      <c r="I8" s="14">
        <f t="shared" si="0"/>
        <v>-17.062409265929453</v>
      </c>
    </row>
    <row r="9" spans="1:9" ht="18.75" x14ac:dyDescent="0.3">
      <c r="A9" s="13"/>
      <c r="B9" s="13" t="s">
        <v>19</v>
      </c>
      <c r="C9" s="13"/>
      <c r="D9" s="13"/>
      <c r="E9" s="13"/>
      <c r="F9" s="13"/>
      <c r="G9" s="29">
        <v>273997917.12</v>
      </c>
      <c r="H9" s="78">
        <v>181555852.41</v>
      </c>
      <c r="I9" s="14">
        <f t="shared" si="0"/>
        <v>50.916598657057854</v>
      </c>
    </row>
    <row r="10" spans="1:9" ht="18.75" x14ac:dyDescent="0.3">
      <c r="A10" s="13"/>
      <c r="B10" s="13" t="s">
        <v>105</v>
      </c>
      <c r="C10" s="13"/>
      <c r="D10" s="13"/>
      <c r="E10" s="13"/>
      <c r="F10" s="13"/>
      <c r="G10" s="29">
        <v>26739139.510000002</v>
      </c>
      <c r="H10" s="78">
        <v>4005914.58</v>
      </c>
      <c r="I10" s="14">
        <f t="shared" si="0"/>
        <v>567.49150477392357</v>
      </c>
    </row>
    <row r="11" spans="1:9" ht="18.75" x14ac:dyDescent="0.3">
      <c r="A11" s="13"/>
      <c r="B11" s="13" t="s">
        <v>20</v>
      </c>
      <c r="C11" s="13"/>
      <c r="D11" s="13"/>
      <c r="E11" s="13"/>
      <c r="F11" s="13"/>
      <c r="G11" s="29">
        <v>81516687.340000004</v>
      </c>
      <c r="H11" s="78">
        <v>81248642.450000003</v>
      </c>
      <c r="I11" s="14">
        <f t="shared" si="0"/>
        <v>0.32990691526317384</v>
      </c>
    </row>
    <row r="12" spans="1:9" ht="18.75" x14ac:dyDescent="0.3">
      <c r="A12" s="13"/>
      <c r="B12" s="13" t="s">
        <v>106</v>
      </c>
      <c r="C12" s="13"/>
      <c r="D12" s="13"/>
      <c r="E12" s="13"/>
      <c r="F12" s="13"/>
      <c r="G12" s="29">
        <v>0</v>
      </c>
      <c r="H12" s="78">
        <v>1097980</v>
      </c>
      <c r="I12" s="14">
        <f t="shared" si="0"/>
        <v>-100</v>
      </c>
    </row>
    <row r="13" spans="1:9" ht="19.5" thickBot="1" x14ac:dyDescent="0.35">
      <c r="A13" s="26"/>
      <c r="B13" s="26" t="s">
        <v>21</v>
      </c>
      <c r="C13" s="26"/>
      <c r="D13" s="26"/>
      <c r="E13" s="26"/>
      <c r="F13" s="26"/>
      <c r="G13" s="30">
        <f>SUM(G6:G12)</f>
        <v>805498087.10000002</v>
      </c>
      <c r="H13" s="30">
        <f>SUM(H6:H12)</f>
        <v>624154566.6400001</v>
      </c>
      <c r="I13" s="42">
        <f t="shared" si="0"/>
        <v>29.054264785119365</v>
      </c>
    </row>
    <row r="14" spans="1:9" ht="19.5" thickTop="1" x14ac:dyDescent="0.3">
      <c r="A14" s="13"/>
      <c r="B14" s="13"/>
      <c r="C14" s="13"/>
      <c r="D14" s="13"/>
      <c r="E14" s="13"/>
      <c r="F14" s="13"/>
      <c r="G14" s="28"/>
      <c r="H14" s="13"/>
      <c r="I14" s="14"/>
    </row>
    <row r="15" spans="1:9" ht="18.75" x14ac:dyDescent="0.3">
      <c r="A15" s="26"/>
      <c r="B15" s="26" t="s">
        <v>22</v>
      </c>
      <c r="C15" s="26"/>
      <c r="D15" s="26"/>
      <c r="E15" s="26"/>
      <c r="F15" s="26"/>
      <c r="G15" s="82"/>
      <c r="H15" s="26"/>
      <c r="I15" s="14"/>
    </row>
    <row r="16" spans="1:9" ht="18.75" x14ac:dyDescent="0.3">
      <c r="A16" s="13"/>
      <c r="B16" s="13" t="s">
        <v>23</v>
      </c>
      <c r="C16" s="13"/>
      <c r="D16" s="13"/>
      <c r="E16" s="13"/>
      <c r="F16" s="13"/>
      <c r="G16" s="14">
        <v>102929165.51000001</v>
      </c>
      <c r="H16" s="76">
        <v>130691767.2</v>
      </c>
      <c r="I16" s="14">
        <f t="shared" si="0"/>
        <v>-21.242808391682683</v>
      </c>
    </row>
    <row r="17" spans="1:9" ht="18.75" x14ac:dyDescent="0.3">
      <c r="A17" s="13"/>
      <c r="B17" s="13" t="s">
        <v>24</v>
      </c>
      <c r="C17" s="13"/>
      <c r="D17" s="13"/>
      <c r="E17" s="13"/>
      <c r="F17" s="13"/>
      <c r="G17" s="29">
        <v>54595.1</v>
      </c>
      <c r="H17" s="76">
        <v>342530.75</v>
      </c>
      <c r="I17" s="14">
        <f t="shared" si="0"/>
        <v>-84.061255814259013</v>
      </c>
    </row>
    <row r="18" spans="1:9" ht="18.75" x14ac:dyDescent="0.3">
      <c r="A18" s="13"/>
      <c r="B18" s="13" t="s">
        <v>25</v>
      </c>
      <c r="C18" s="13"/>
      <c r="D18" s="13"/>
      <c r="E18" s="13"/>
      <c r="F18" s="13"/>
      <c r="G18" s="14">
        <v>4341113.67</v>
      </c>
      <c r="H18" s="76">
        <v>3667173.66</v>
      </c>
      <c r="I18" s="14">
        <f t="shared" si="0"/>
        <v>18.377640997781373</v>
      </c>
    </row>
    <row r="19" spans="1:9" ht="18.75" x14ac:dyDescent="0.3">
      <c r="A19" s="13"/>
      <c r="B19" s="13" t="s">
        <v>26</v>
      </c>
      <c r="C19" s="13"/>
      <c r="D19" s="13"/>
      <c r="E19" s="13"/>
      <c r="F19" s="13"/>
      <c r="G19" s="14">
        <v>69144.58</v>
      </c>
      <c r="H19" s="76">
        <v>9302.84</v>
      </c>
      <c r="I19" s="14">
        <f t="shared" si="0"/>
        <v>643.26313254877005</v>
      </c>
    </row>
    <row r="20" spans="1:9" ht="18.75" x14ac:dyDescent="0.3">
      <c r="A20" s="13"/>
      <c r="B20" s="13" t="s">
        <v>27</v>
      </c>
      <c r="C20" s="13"/>
      <c r="D20" s="13"/>
      <c r="E20" s="13"/>
      <c r="F20" s="13"/>
      <c r="G20" s="14">
        <v>476453.4</v>
      </c>
      <c r="H20" s="76">
        <v>4493620.5</v>
      </c>
      <c r="I20" s="14">
        <f t="shared" si="0"/>
        <v>-89.397115310471818</v>
      </c>
    </row>
    <row r="21" spans="1:9" ht="18.75" x14ac:dyDescent="0.3">
      <c r="A21" s="13"/>
      <c r="B21" s="13" t="s">
        <v>107</v>
      </c>
      <c r="C21" s="13"/>
      <c r="D21" s="13"/>
      <c r="E21" s="13"/>
      <c r="F21" s="13"/>
      <c r="G21" s="14">
        <v>6358223.1600000001</v>
      </c>
      <c r="H21" s="76">
        <v>1842748.04</v>
      </c>
      <c r="I21" s="14">
        <f t="shared" si="0"/>
        <v>245.04028885034111</v>
      </c>
    </row>
    <row r="22" spans="1:9" ht="18.75" x14ac:dyDescent="0.3">
      <c r="A22" s="13"/>
      <c r="B22" s="13" t="s">
        <v>108</v>
      </c>
      <c r="C22" s="13"/>
      <c r="D22" s="13"/>
      <c r="E22" s="13"/>
      <c r="F22" s="13"/>
      <c r="G22" s="14">
        <v>2272891.87</v>
      </c>
      <c r="H22" s="77">
        <v>0</v>
      </c>
      <c r="I22" s="14"/>
    </row>
    <row r="23" spans="1:9" ht="18.75" x14ac:dyDescent="0.3">
      <c r="A23" s="13"/>
      <c r="B23" s="13" t="s">
        <v>109</v>
      </c>
      <c r="C23" s="13"/>
      <c r="D23" s="13"/>
      <c r="E23" s="13"/>
      <c r="F23" s="13"/>
      <c r="G23" s="14">
        <v>1609524</v>
      </c>
      <c r="H23" s="77">
        <v>0</v>
      </c>
      <c r="I23" s="14"/>
    </row>
    <row r="24" spans="1:9" ht="18.75" x14ac:dyDescent="0.3">
      <c r="A24" s="13"/>
      <c r="B24" s="13" t="s">
        <v>110</v>
      </c>
      <c r="C24" s="13"/>
      <c r="D24" s="13"/>
      <c r="E24" s="13"/>
      <c r="F24" s="13"/>
      <c r="G24" s="14">
        <v>27662043.199999999</v>
      </c>
      <c r="H24" s="77">
        <v>0</v>
      </c>
      <c r="I24" s="14"/>
    </row>
    <row r="25" spans="1:9" ht="18.75" x14ac:dyDescent="0.3">
      <c r="A25" s="13"/>
      <c r="B25" s="13" t="s">
        <v>111</v>
      </c>
      <c r="C25" s="13"/>
      <c r="D25" s="13"/>
      <c r="E25" s="13"/>
      <c r="F25" s="13"/>
      <c r="G25" s="14">
        <v>378965</v>
      </c>
      <c r="H25" s="77">
        <v>0</v>
      </c>
      <c r="I25" s="14"/>
    </row>
    <row r="26" spans="1:9" ht="18.75" x14ac:dyDescent="0.3">
      <c r="A26" s="13"/>
      <c r="B26" s="13" t="s">
        <v>74</v>
      </c>
      <c r="C26" s="13"/>
      <c r="D26" s="13"/>
      <c r="E26" s="13"/>
      <c r="F26" s="13"/>
      <c r="G26" s="14">
        <f>35884657.86-69144.58</f>
        <v>35815513.280000001</v>
      </c>
      <c r="H26" s="77">
        <v>0</v>
      </c>
      <c r="I26" s="14"/>
    </row>
    <row r="27" spans="1:9" ht="18.75" x14ac:dyDescent="0.3">
      <c r="A27" s="13"/>
      <c r="B27" s="26" t="s">
        <v>28</v>
      </c>
      <c r="C27" s="26"/>
      <c r="D27" s="26"/>
      <c r="E27" s="26"/>
      <c r="F27" s="13"/>
      <c r="G27" s="31">
        <f>SUM(G16:G26)</f>
        <v>181967632.77000001</v>
      </c>
      <c r="H27" s="31">
        <f>SUM(H16:H26)</f>
        <v>141047142.99000001</v>
      </c>
      <c r="I27" s="36">
        <f t="shared" si="0"/>
        <v>29.011923894765591</v>
      </c>
    </row>
    <row r="28" spans="1:9" ht="19.5" thickBot="1" x14ac:dyDescent="0.35">
      <c r="A28" s="26" t="s">
        <v>53</v>
      </c>
      <c r="B28" s="26"/>
      <c r="C28" s="26"/>
      <c r="D28" s="26"/>
      <c r="E28" s="26"/>
      <c r="F28" s="26"/>
      <c r="G28" s="32">
        <f>SUM(G13+G27)</f>
        <v>987465719.87</v>
      </c>
      <c r="H28" s="32">
        <f>SUM(H13+H27)</f>
        <v>765201709.63000011</v>
      </c>
      <c r="I28" s="32">
        <f>SUM(G28-H28)/H28*100</f>
        <v>29.046460226476984</v>
      </c>
    </row>
    <row r="29" spans="1:9" ht="19.5" thickTop="1" x14ac:dyDescent="0.3">
      <c r="A29" s="26"/>
      <c r="B29" s="26"/>
      <c r="C29" s="26"/>
      <c r="D29" s="26"/>
      <c r="E29" s="26"/>
      <c r="F29" s="26"/>
      <c r="G29" s="38"/>
      <c r="H29" s="38"/>
      <c r="I29" s="38"/>
    </row>
    <row r="30" spans="1:9" ht="18.75" x14ac:dyDescent="0.3">
      <c r="A30" s="26" t="s">
        <v>54</v>
      </c>
      <c r="B30" s="13"/>
      <c r="C30" s="13"/>
      <c r="D30" s="13"/>
      <c r="E30" s="13"/>
      <c r="F30" s="13"/>
      <c r="G30" s="13"/>
      <c r="H30" s="13"/>
      <c r="I30" s="14"/>
    </row>
    <row r="31" spans="1:9" ht="18.75" x14ac:dyDescent="0.3">
      <c r="A31" s="13"/>
      <c r="B31" s="13" t="s">
        <v>55</v>
      </c>
      <c r="C31" s="13"/>
      <c r="D31" s="13"/>
      <c r="E31" s="13"/>
      <c r="F31" s="13"/>
      <c r="G31" s="14">
        <v>344778148.38999999</v>
      </c>
      <c r="H31" s="14">
        <v>251543897.36000001</v>
      </c>
      <c r="I31" s="14">
        <f t="shared" si="0"/>
        <v>37.064803403505621</v>
      </c>
    </row>
    <row r="32" spans="1:9" ht="18.75" x14ac:dyDescent="0.3">
      <c r="A32" s="13"/>
      <c r="B32" s="13" t="s">
        <v>56</v>
      </c>
      <c r="C32" s="13"/>
      <c r="D32" s="13"/>
      <c r="E32" s="13"/>
      <c r="F32" s="13"/>
      <c r="G32" s="14">
        <v>51416906.780000001</v>
      </c>
      <c r="H32" s="79">
        <v>50234551.969999999</v>
      </c>
      <c r="I32" s="14">
        <f t="shared" si="0"/>
        <v>2.3536684684798281</v>
      </c>
    </row>
    <row r="33" spans="1:9" ht="18.75" x14ac:dyDescent="0.3">
      <c r="A33" s="13"/>
      <c r="B33" s="13" t="s">
        <v>57</v>
      </c>
      <c r="C33" s="13"/>
      <c r="D33" s="13"/>
      <c r="E33" s="13"/>
      <c r="F33" s="13"/>
      <c r="G33" s="14">
        <v>21428120.57</v>
      </c>
      <c r="H33" s="14">
        <v>1674599</v>
      </c>
      <c r="I33" s="14">
        <f t="shared" si="0"/>
        <v>1179.5971196686492</v>
      </c>
    </row>
    <row r="34" spans="1:9" ht="18.75" x14ac:dyDescent="0.3">
      <c r="A34" s="13"/>
      <c r="B34" s="13" t="s">
        <v>58</v>
      </c>
      <c r="C34" s="13"/>
      <c r="D34" s="13"/>
      <c r="E34" s="13"/>
      <c r="F34" s="13"/>
      <c r="G34" s="14">
        <f>1762980+3475926.29+4063049.28+139260+184937.79+324029.67</f>
        <v>9950183.0299999993</v>
      </c>
      <c r="H34" s="14">
        <v>9494030</v>
      </c>
      <c r="I34" s="14">
        <f t="shared" si="0"/>
        <v>4.8046301728559877</v>
      </c>
    </row>
    <row r="35" spans="1:9" ht="18.75" x14ac:dyDescent="0.3">
      <c r="A35" s="13"/>
      <c r="B35" s="13" t="s">
        <v>59</v>
      </c>
      <c r="C35" s="13"/>
      <c r="D35" s="13"/>
      <c r="E35" s="13"/>
      <c r="F35" s="13"/>
      <c r="G35" s="14">
        <f>113637699.08+16885846</f>
        <v>130523545.08</v>
      </c>
      <c r="H35" s="14">
        <v>136086738.18000001</v>
      </c>
      <c r="I35" s="14">
        <f t="shared" si="0"/>
        <v>-4.0879759294705496</v>
      </c>
    </row>
    <row r="36" spans="1:9" ht="18.75" x14ac:dyDescent="0.3">
      <c r="A36" s="13"/>
      <c r="B36" s="13" t="s">
        <v>60</v>
      </c>
      <c r="C36" s="13"/>
      <c r="D36" s="13"/>
      <c r="E36" s="13"/>
      <c r="F36" s="13"/>
      <c r="G36" s="14">
        <v>18931955.399999999</v>
      </c>
      <c r="H36" s="14">
        <v>17003174.48</v>
      </c>
      <c r="I36" s="14">
        <f t="shared" si="0"/>
        <v>11.343651870824054</v>
      </c>
    </row>
    <row r="37" spans="1:9" ht="18.75" x14ac:dyDescent="0.3">
      <c r="A37" s="13"/>
      <c r="B37" s="13" t="s">
        <v>61</v>
      </c>
      <c r="C37" s="13"/>
      <c r="D37" s="13"/>
      <c r="E37" s="13"/>
      <c r="F37" s="13"/>
      <c r="G37" s="14">
        <v>112519545.61</v>
      </c>
      <c r="H37" s="14">
        <v>38242255.090000004</v>
      </c>
      <c r="I37" s="14">
        <f t="shared" si="0"/>
        <v>194.22832242814786</v>
      </c>
    </row>
    <row r="38" spans="1:9" ht="18.75" x14ac:dyDescent="0.3">
      <c r="A38" s="13"/>
      <c r="B38" s="13" t="s">
        <v>68</v>
      </c>
      <c r="C38" s="13"/>
      <c r="D38" s="13"/>
      <c r="E38" s="13"/>
      <c r="F38" s="13"/>
      <c r="G38" s="14">
        <v>8826396.3699999992</v>
      </c>
      <c r="H38" s="14">
        <v>122172145</v>
      </c>
      <c r="I38" s="14">
        <f t="shared" si="0"/>
        <v>-92.775442904763594</v>
      </c>
    </row>
    <row r="39" spans="1:9" ht="18.75" x14ac:dyDescent="0.3">
      <c r="A39" s="13"/>
      <c r="B39" s="13" t="s">
        <v>62</v>
      </c>
      <c r="C39" s="13"/>
      <c r="D39" s="13"/>
      <c r="E39" s="13"/>
      <c r="F39" s="13"/>
      <c r="G39" s="14">
        <v>9449475.3000000007</v>
      </c>
      <c r="H39" s="14">
        <v>36106</v>
      </c>
      <c r="I39" s="14">
        <f t="shared" si="0"/>
        <v>26071.48202514818</v>
      </c>
    </row>
    <row r="40" spans="1:9" ht="18.75" x14ac:dyDescent="0.3">
      <c r="A40" s="26" t="s">
        <v>63</v>
      </c>
      <c r="B40" s="13"/>
      <c r="C40" s="13"/>
      <c r="D40" s="13"/>
      <c r="E40" s="13"/>
      <c r="F40" s="13"/>
      <c r="G40" s="31">
        <f>SUM(G31:G39)</f>
        <v>707824276.52999985</v>
      </c>
      <c r="H40" s="31">
        <f>SUM(H31:H39)</f>
        <v>626487497.08000004</v>
      </c>
      <c r="I40" s="37">
        <f t="shared" si="0"/>
        <v>12.982985267719304</v>
      </c>
    </row>
    <row r="41" spans="1:9" ht="19.5" thickBot="1" x14ac:dyDescent="0.35">
      <c r="A41" s="13" t="s">
        <v>64</v>
      </c>
      <c r="B41" s="13"/>
      <c r="C41" s="13"/>
      <c r="D41" s="13"/>
      <c r="E41" s="13"/>
      <c r="F41" s="13"/>
      <c r="G41" s="32">
        <f>SUM(G28-G40)</f>
        <v>279641443.34000015</v>
      </c>
      <c r="H41" s="32">
        <f>SUM(H28-H40)</f>
        <v>138714212.55000007</v>
      </c>
      <c r="I41" s="32">
        <f t="shared" si="0"/>
        <v>101.59537959327875</v>
      </c>
    </row>
    <row r="42" spans="1:9" ht="19.5" thickTop="1" x14ac:dyDescent="0.3">
      <c r="A42" s="13" t="s">
        <v>65</v>
      </c>
      <c r="B42" s="13"/>
      <c r="C42" s="13"/>
      <c r="D42" s="13"/>
      <c r="E42" s="13"/>
      <c r="F42" s="13"/>
      <c r="G42" s="13"/>
      <c r="H42" s="13"/>
      <c r="I42" s="14"/>
    </row>
    <row r="43" spans="1:9" ht="18.75" x14ac:dyDescent="0.3">
      <c r="A43" s="13"/>
      <c r="B43" s="13" t="s">
        <v>66</v>
      </c>
      <c r="C43" s="13"/>
      <c r="D43" s="13"/>
      <c r="E43" s="13"/>
      <c r="F43" s="13"/>
      <c r="G43" s="14">
        <v>133650.31</v>
      </c>
      <c r="H43" s="14">
        <v>23967</v>
      </c>
      <c r="I43" s="38">
        <f t="shared" si="0"/>
        <v>457.64305086160135</v>
      </c>
    </row>
    <row r="44" spans="1:9" ht="18.75" x14ac:dyDescent="0.3">
      <c r="A44" s="13"/>
      <c r="B44" s="26" t="s">
        <v>112</v>
      </c>
      <c r="C44" s="13"/>
      <c r="D44" s="13"/>
      <c r="E44" s="13"/>
      <c r="F44" s="13"/>
      <c r="G44" s="31">
        <f>SUM(G43)</f>
        <v>133650.31</v>
      </c>
      <c r="H44" s="31">
        <f>SUM(H43)</f>
        <v>23967</v>
      </c>
      <c r="I44" s="37">
        <f t="shared" si="0"/>
        <v>457.64305086160135</v>
      </c>
    </row>
    <row r="45" spans="1:9" ht="19.5" thickBot="1" x14ac:dyDescent="0.35">
      <c r="A45" s="13" t="s">
        <v>67</v>
      </c>
      <c r="B45" s="13"/>
      <c r="C45" s="13"/>
      <c r="D45" s="13"/>
      <c r="E45" s="13"/>
      <c r="F45" s="13"/>
      <c r="G45" s="32">
        <f>G41-G44</f>
        <v>279507793.03000015</v>
      </c>
      <c r="H45" s="32">
        <f>H41-H44</f>
        <v>138690245.55000007</v>
      </c>
      <c r="I45" s="32">
        <f t="shared" si="0"/>
        <v>101.53385115266313</v>
      </c>
    </row>
    <row r="46" spans="1:9" ht="18.75" thickTop="1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ht="18.75" x14ac:dyDescent="0.3">
      <c r="A47" s="3"/>
      <c r="B47" s="26" t="s">
        <v>46</v>
      </c>
      <c r="C47" s="3"/>
      <c r="D47" s="3"/>
      <c r="E47" s="3"/>
      <c r="F47" s="3"/>
      <c r="G47" s="3"/>
      <c r="H47" s="3"/>
      <c r="I47" s="3"/>
    </row>
    <row r="48" spans="1:9" ht="18.75" x14ac:dyDescent="0.3">
      <c r="A48" s="3"/>
      <c r="B48" s="26" t="s">
        <v>47</v>
      </c>
      <c r="C48" s="3"/>
      <c r="D48" s="3"/>
      <c r="E48" s="3"/>
      <c r="F48" s="3"/>
      <c r="G48" s="3"/>
      <c r="H48" s="3"/>
      <c r="I48" s="3"/>
    </row>
    <row r="49" spans="1:9" ht="18.75" x14ac:dyDescent="0.3">
      <c r="A49" s="3"/>
      <c r="B49" s="26" t="s">
        <v>48</v>
      </c>
      <c r="C49" s="3"/>
      <c r="D49" s="3"/>
      <c r="E49" s="3"/>
      <c r="F49" s="3"/>
      <c r="G49" s="3"/>
      <c r="H49" s="3"/>
      <c r="I49" s="3"/>
    </row>
    <row r="50" spans="1:9" ht="18.75" x14ac:dyDescent="0.3">
      <c r="A50" s="3"/>
      <c r="B50" s="26" t="s">
        <v>49</v>
      </c>
      <c r="C50" s="3"/>
      <c r="D50" s="3"/>
      <c r="E50" s="3"/>
      <c r="F50" s="3"/>
      <c r="G50" s="3"/>
      <c r="H50" s="3"/>
      <c r="I50" s="3"/>
    </row>
  </sheetData>
  <pageMargins left="0.70866141732283472" right="0.15748031496062992" top="0.74803149606299213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5"/>
  <sheetViews>
    <sheetView workbookViewId="0">
      <selection activeCell="B1" sqref="B1"/>
    </sheetView>
  </sheetViews>
  <sheetFormatPr defaultRowHeight="14.25" x14ac:dyDescent="0.2"/>
  <cols>
    <col min="2" max="2" width="11.125" bestFit="1" customWidth="1"/>
  </cols>
  <sheetData>
    <row r="1" spans="1:4" ht="39" x14ac:dyDescent="0.3">
      <c r="A1" s="52" t="s">
        <v>81</v>
      </c>
      <c r="B1" s="53">
        <v>75476336</v>
      </c>
      <c r="C1" s="54">
        <v>9.77</v>
      </c>
      <c r="D1" s="51"/>
    </row>
    <row r="2" spans="1:4" ht="39" x14ac:dyDescent="0.3">
      <c r="A2" s="52" t="s">
        <v>82</v>
      </c>
      <c r="B2" s="53">
        <v>134437344</v>
      </c>
      <c r="C2" s="54">
        <v>17.399999999999999</v>
      </c>
      <c r="D2" s="51"/>
    </row>
    <row r="3" spans="1:4" ht="39" x14ac:dyDescent="0.3">
      <c r="A3" s="52" t="s">
        <v>83</v>
      </c>
      <c r="B3" s="53">
        <v>217713800</v>
      </c>
      <c r="C3" s="54">
        <v>28.17</v>
      </c>
      <c r="D3" s="51"/>
    </row>
    <row r="4" spans="1:4" ht="39" x14ac:dyDescent="0.3">
      <c r="A4" s="52" t="s">
        <v>84</v>
      </c>
      <c r="B4" s="53">
        <v>13864900</v>
      </c>
      <c r="C4" s="54">
        <v>1.79</v>
      </c>
      <c r="D4" s="51"/>
    </row>
    <row r="5" spans="1:4" x14ac:dyDescent="0.2">
      <c r="B5" s="70">
        <f>SUM(B1:B4)</f>
        <v>441492380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5"/>
  <sheetViews>
    <sheetView workbookViewId="0">
      <selection activeCell="G12" sqref="G12"/>
    </sheetView>
  </sheetViews>
  <sheetFormatPr defaultRowHeight="14.25" x14ac:dyDescent="0.2"/>
  <cols>
    <col min="1" max="1" width="33.625" customWidth="1"/>
    <col min="2" max="2" width="11.625" bestFit="1" customWidth="1"/>
    <col min="3" max="3" width="11" bestFit="1" customWidth="1"/>
    <col min="4" max="4" width="9.875" bestFit="1" customWidth="1"/>
    <col min="5" max="5" width="10.75" bestFit="1" customWidth="1"/>
    <col min="6" max="6" width="11.75" bestFit="1" customWidth="1"/>
    <col min="7" max="7" width="6.875" bestFit="1" customWidth="1"/>
    <col min="8" max="8" width="6.625" bestFit="1" customWidth="1"/>
    <col min="9" max="9" width="8.625" bestFit="1" customWidth="1"/>
  </cols>
  <sheetData>
    <row r="1" spans="1:9" ht="18.75" x14ac:dyDescent="0.3">
      <c r="A1" s="8" t="s">
        <v>7</v>
      </c>
      <c r="B1" s="13"/>
      <c r="C1" s="13"/>
      <c r="D1" s="13"/>
      <c r="E1" s="13"/>
      <c r="F1" s="13"/>
      <c r="G1" s="13"/>
      <c r="H1" s="13"/>
      <c r="I1" s="20" t="s">
        <v>10</v>
      </c>
    </row>
    <row r="2" spans="1:9" ht="37.5" x14ac:dyDescent="0.2">
      <c r="A2" s="64" t="s">
        <v>30</v>
      </c>
      <c r="B2" s="64" t="s">
        <v>1</v>
      </c>
      <c r="C2" s="64" t="s">
        <v>2</v>
      </c>
      <c r="D2" s="64" t="s">
        <v>4</v>
      </c>
      <c r="E2" s="64" t="s">
        <v>5</v>
      </c>
      <c r="F2" s="64" t="s">
        <v>6</v>
      </c>
      <c r="G2" s="64" t="s">
        <v>42</v>
      </c>
      <c r="H2" s="64" t="s">
        <v>43</v>
      </c>
      <c r="I2" s="64" t="s">
        <v>11</v>
      </c>
    </row>
    <row r="3" spans="1:9" ht="18.75" x14ac:dyDescent="0.3">
      <c r="A3" s="61" t="s">
        <v>31</v>
      </c>
      <c r="B3" s="67"/>
      <c r="C3" s="62"/>
      <c r="D3" s="63"/>
      <c r="E3" s="63"/>
      <c r="F3" s="62"/>
      <c r="G3" s="63"/>
      <c r="H3" s="63"/>
      <c r="I3" s="63"/>
    </row>
    <row r="4" spans="1:9" ht="18.75" x14ac:dyDescent="0.3">
      <c r="A4" s="21" t="s">
        <v>325</v>
      </c>
      <c r="B4" s="34">
        <f>'t3'!B387+G4/4498.92*336209099.76</f>
        <v>94305643.748286784</v>
      </c>
      <c r="C4" s="71">
        <f>'t3'!C387+G4/4498.92*72415724.13</f>
        <v>20880381.274968591</v>
      </c>
      <c r="D4" s="22">
        <f>G4/4498.92*5042300.47</f>
        <v>1382022.860275866</v>
      </c>
      <c r="E4" s="22">
        <f t="shared" ref="E4:E9" si="0">G4/4498.92*59094185.75</f>
        <v>16196876.029462071</v>
      </c>
      <c r="F4" s="22">
        <f>SUM(B4:E4)</f>
        <v>132764923.91299331</v>
      </c>
      <c r="G4" s="22">
        <f>'t3'!G387</f>
        <v>1233.0899999999999</v>
      </c>
      <c r="H4" s="152" t="s">
        <v>44</v>
      </c>
      <c r="I4" s="22">
        <f>SUM(F4/G4)</f>
        <v>107668.47830490339</v>
      </c>
    </row>
    <row r="5" spans="1:9" ht="18.75" x14ac:dyDescent="0.3">
      <c r="A5" s="21" t="s">
        <v>333</v>
      </c>
      <c r="B5" s="34">
        <f>'t3'!B389+G5/4498.92*336209099.76</f>
        <v>46159385.691385135</v>
      </c>
      <c r="C5" s="34">
        <f>'t3'!C389+G5/4498.92*72415724.13</f>
        <v>10428111.519673921</v>
      </c>
      <c r="D5" s="22">
        <f>G5/4498.92*5042300.47</f>
        <v>663165.64599926199</v>
      </c>
      <c r="E5" s="171">
        <f t="shared" si="0"/>
        <v>7772094.1266515078</v>
      </c>
      <c r="F5" s="22">
        <f t="shared" ref="F5:F17" si="1">SUM(B5:E5)</f>
        <v>65022756.983709827</v>
      </c>
      <c r="G5" s="22">
        <f>'t3'!G389</f>
        <v>591.70000000000005</v>
      </c>
      <c r="H5" s="152" t="s">
        <v>44</v>
      </c>
      <c r="I5" s="22">
        <f t="shared" ref="I5:I20" si="2">SUM(F5/G5)</f>
        <v>109891.42637098162</v>
      </c>
    </row>
    <row r="6" spans="1:9" ht="18.75" x14ac:dyDescent="0.3">
      <c r="A6" s="21" t="s">
        <v>32</v>
      </c>
      <c r="B6" s="34">
        <f>'t3'!B391+G6/4498.92*336209099.76</f>
        <v>117791287.91143234</v>
      </c>
      <c r="C6" s="34">
        <f>'t3'!C391+G6/4498.92*72415724.13</f>
        <v>26938762.091804631</v>
      </c>
      <c r="D6" s="193">
        <v>1722695.21</v>
      </c>
      <c r="E6" s="22">
        <f t="shared" si="0"/>
        <v>20189449.513891667</v>
      </c>
      <c r="F6" s="22">
        <f t="shared" si="1"/>
        <v>166642194.72712865</v>
      </c>
      <c r="G6" s="22">
        <f>'t3'!G391</f>
        <v>1537.05</v>
      </c>
      <c r="H6" s="152" t="s">
        <v>44</v>
      </c>
      <c r="I6" s="22">
        <f t="shared" si="2"/>
        <v>108416.89907753727</v>
      </c>
    </row>
    <row r="7" spans="1:9" ht="18.75" x14ac:dyDescent="0.3">
      <c r="A7" s="21" t="s">
        <v>342</v>
      </c>
      <c r="B7" s="34">
        <f>'t3'!B394+G7/4498.92*336209099.76</f>
        <v>53369582.246281505</v>
      </c>
      <c r="C7" s="34">
        <f>'t3'!C394+G7/4498.92*72415724.13</f>
        <v>11729582.482942106</v>
      </c>
      <c r="D7" s="22">
        <f>G7/4498.92*5042300.47</f>
        <v>791080.29054530861</v>
      </c>
      <c r="E7" s="22">
        <f t="shared" si="0"/>
        <v>9271213.786402626</v>
      </c>
      <c r="F7" s="22">
        <f t="shared" si="1"/>
        <v>75161458.806171536</v>
      </c>
      <c r="G7" s="22">
        <f>'t3'!G394</f>
        <v>705.83</v>
      </c>
      <c r="H7" s="152" t="s">
        <v>44</v>
      </c>
      <c r="I7" s="22">
        <f t="shared" si="2"/>
        <v>106486.63106721382</v>
      </c>
    </row>
    <row r="8" spans="1:9" ht="18.75" x14ac:dyDescent="0.2">
      <c r="A8" s="21" t="s">
        <v>347</v>
      </c>
      <c r="B8" s="22">
        <f>'t3'!B397+G8/4498.92*336209099.76</f>
        <v>24727689.945391688</v>
      </c>
      <c r="C8" s="22">
        <f>'t3'!C397+G8/4498.92*72415724.13</f>
        <v>6041846.4461310701</v>
      </c>
      <c r="D8" s="22">
        <f>G8/4498.92*5042300.47</f>
        <v>361743.01825709274</v>
      </c>
      <c r="E8" s="22">
        <f t="shared" si="0"/>
        <v>4239515.1264459025</v>
      </c>
      <c r="F8" s="22">
        <f t="shared" si="1"/>
        <v>35370794.536225751</v>
      </c>
      <c r="G8" s="22">
        <f>'t3'!G397</f>
        <v>322.76</v>
      </c>
      <c r="H8" s="152" t="s">
        <v>44</v>
      </c>
      <c r="I8" s="22">
        <f t="shared" si="2"/>
        <v>109588.53183859757</v>
      </c>
    </row>
    <row r="9" spans="1:9" ht="18.75" x14ac:dyDescent="0.3">
      <c r="A9" s="21" t="s">
        <v>337</v>
      </c>
      <c r="B9" s="34">
        <f>'t3'!B398+G9/4498.92*336209099.76</f>
        <v>3886787.4689317434</v>
      </c>
      <c r="C9" s="34">
        <f>'t3'!C398+G9/4498.92*72415724.13</f>
        <v>890408.28191525955</v>
      </c>
      <c r="D9" s="22">
        <f>G9/4498.92*5042300.47</f>
        <v>57540.855611969091</v>
      </c>
      <c r="E9" s="22">
        <f t="shared" si="0"/>
        <v>674360.84580410412</v>
      </c>
      <c r="F9" s="22">
        <f t="shared" si="1"/>
        <v>5509097.4522630759</v>
      </c>
      <c r="G9" s="22">
        <f>'t3'!G398</f>
        <v>51.34</v>
      </c>
      <c r="H9" s="152" t="s">
        <v>44</v>
      </c>
      <c r="I9" s="22">
        <f t="shared" si="2"/>
        <v>107306.14437598511</v>
      </c>
    </row>
    <row r="10" spans="1:9" ht="18.75" x14ac:dyDescent="0.3">
      <c r="A10" s="67" t="s">
        <v>97</v>
      </c>
      <c r="B10" s="69"/>
      <c r="C10" s="62"/>
      <c r="D10" s="62"/>
      <c r="E10" s="62"/>
      <c r="F10" s="62"/>
      <c r="G10" s="62"/>
      <c r="H10" s="153"/>
      <c r="I10" s="62"/>
    </row>
    <row r="11" spans="1:9" ht="18.75" x14ac:dyDescent="0.3">
      <c r="A11" s="21" t="s">
        <v>326</v>
      </c>
      <c r="B11" s="34">
        <f>'t3'!B388+G11/4498.92*336209099.76</f>
        <v>1915357.2917164117</v>
      </c>
      <c r="C11" s="34">
        <f>'t3'!C388+G11/4498.92*72415724.13</f>
        <v>3911273.0011080657</v>
      </c>
      <c r="D11" s="171">
        <v>30253.8</v>
      </c>
      <c r="E11" s="22">
        <f>G11/4498.92*59094185.75</f>
        <v>336655.01515308116</v>
      </c>
      <c r="F11" s="22">
        <f t="shared" si="1"/>
        <v>6193539.1079775579</v>
      </c>
      <c r="G11" s="22">
        <f>'t3'!G388</f>
        <v>25.63</v>
      </c>
      <c r="H11" s="152" t="s">
        <v>44</v>
      </c>
      <c r="I11" s="22">
        <f t="shared" si="2"/>
        <v>241651.93554340844</v>
      </c>
    </row>
    <row r="12" spans="1:9" ht="18.75" x14ac:dyDescent="0.3">
      <c r="A12" s="21" t="s">
        <v>334</v>
      </c>
      <c r="B12" s="34">
        <f>'t3'!B390+G12/4498.92*336209099.76</f>
        <v>145497.76873649674</v>
      </c>
      <c r="C12" s="34">
        <f>'t3'!C390+G12/4498.92*72415724.13</f>
        <v>53964.246239097381</v>
      </c>
      <c r="D12" s="193">
        <f>G12/4498.92*5042300.47</f>
        <v>1120.7802028042283</v>
      </c>
      <c r="E12" s="22">
        <f>G12/4498.92*59094185.75</f>
        <v>13135.193724271601</v>
      </c>
      <c r="F12" s="22">
        <f t="shared" si="1"/>
        <v>213717.98890266995</v>
      </c>
      <c r="G12" s="22">
        <f>'t3'!G390</f>
        <v>1</v>
      </c>
      <c r="H12" s="152" t="s">
        <v>44</v>
      </c>
      <c r="I12" s="22">
        <f t="shared" si="2"/>
        <v>213717.98890266995</v>
      </c>
    </row>
    <row r="13" spans="1:9" ht="18.75" x14ac:dyDescent="0.3">
      <c r="A13" s="21" t="s">
        <v>100</v>
      </c>
      <c r="B13" s="34">
        <f>'t3'!B392+G13/4498.92*336209099.76</f>
        <v>196542.71077698644</v>
      </c>
      <c r="C13" s="34">
        <f>'t3'!C392+G13/4498.92*72415724.13</f>
        <v>85988.127608826107</v>
      </c>
      <c r="D13" s="22">
        <f>G13/4498.92*5042300.47</f>
        <v>2947.6519333751207</v>
      </c>
      <c r="E13" s="22">
        <f>G13/4498.92*59094185.75</f>
        <v>34545.559494834313</v>
      </c>
      <c r="F13" s="22">
        <f t="shared" si="1"/>
        <v>320024.04981402197</v>
      </c>
      <c r="G13" s="22">
        <f>'t3'!G392</f>
        <v>2.63</v>
      </c>
      <c r="H13" s="152" t="s">
        <v>44</v>
      </c>
      <c r="I13" s="22">
        <f t="shared" si="2"/>
        <v>121682.1482182593</v>
      </c>
    </row>
    <row r="14" spans="1:9" ht="18.75" x14ac:dyDescent="0.3">
      <c r="A14" s="21" t="s">
        <v>343</v>
      </c>
      <c r="B14" s="71">
        <f>'t3'!B395+G14/4498.92*336209099.76</f>
        <v>1429605.3449291829</v>
      </c>
      <c r="C14" s="71">
        <f>'t3'!C395+G14/4498.92*72415724.13</f>
        <v>1209807.1905539329</v>
      </c>
      <c r="D14" s="22">
        <f>G14/4498.92*5042300.47</f>
        <v>21440.525279644888</v>
      </c>
      <c r="E14" s="22">
        <f>G14/4498.92*59094185.75</f>
        <v>251276.25594531573</v>
      </c>
      <c r="F14" s="22">
        <f t="shared" si="1"/>
        <v>2912129.3167080763</v>
      </c>
      <c r="G14" s="71">
        <f>'t3'!G395</f>
        <v>19.13</v>
      </c>
      <c r="H14" s="152" t="s">
        <v>44</v>
      </c>
      <c r="I14" s="22">
        <f t="shared" si="2"/>
        <v>152228.40129158788</v>
      </c>
    </row>
    <row r="15" spans="1:9" ht="18.75" x14ac:dyDescent="0.2">
      <c r="A15" s="72" t="s">
        <v>98</v>
      </c>
      <c r="B15" s="62"/>
      <c r="C15" s="62"/>
      <c r="D15" s="62"/>
      <c r="E15" s="62"/>
      <c r="F15" s="62"/>
      <c r="G15" s="62"/>
      <c r="H15" s="153"/>
      <c r="I15" s="62"/>
    </row>
    <row r="16" spans="1:9" ht="18.75" x14ac:dyDescent="0.3">
      <c r="A16" s="21" t="s">
        <v>116</v>
      </c>
      <c r="B16" s="34">
        <f>'t3'!B393+G16/4498.92*336209099.76</f>
        <v>364687.61543410411</v>
      </c>
      <c r="C16" s="34">
        <f>'t3'!C393+G16/4498.92*72415724.13</f>
        <v>774663.68164679524</v>
      </c>
      <c r="D16" s="22">
        <f>G16/4498.92*5042300.47</f>
        <v>5469.4073896846348</v>
      </c>
      <c r="E16" s="22">
        <f>G16/4498.92*59094185.75</f>
        <v>64099.745374445418</v>
      </c>
      <c r="F16" s="22">
        <f t="shared" si="1"/>
        <v>1208920.4498450293</v>
      </c>
      <c r="G16" s="34">
        <f>'t3'!G393</f>
        <v>4.88</v>
      </c>
      <c r="H16" s="152" t="s">
        <v>44</v>
      </c>
      <c r="I16" s="22">
        <f t="shared" si="2"/>
        <v>247729.60037807978</v>
      </c>
    </row>
    <row r="17" spans="1:9" ht="18.75" x14ac:dyDescent="0.3">
      <c r="A17" s="21" t="s">
        <v>344</v>
      </c>
      <c r="B17" s="34">
        <f>'t3'!B396+G17/4498.92*336209099.76</f>
        <v>289956.54669760738</v>
      </c>
      <c r="C17" s="34">
        <f>'t3'!C396+G17/4498.92*72415724.13</f>
        <v>1655573.795407698</v>
      </c>
      <c r="D17" s="22">
        <f>ROUND(G17/4498.92*5042300.47,2)</f>
        <v>4348.63</v>
      </c>
      <c r="E17" s="22">
        <f>G17/4498.92*59094185.75</f>
        <v>50964.551650173817</v>
      </c>
      <c r="F17" s="22">
        <f t="shared" si="1"/>
        <v>2000843.5237554789</v>
      </c>
      <c r="G17" s="34">
        <f>'t3'!G396</f>
        <v>3.88</v>
      </c>
      <c r="H17" s="152" t="s">
        <v>44</v>
      </c>
      <c r="I17" s="22">
        <f t="shared" si="2"/>
        <v>515681.32055553584</v>
      </c>
    </row>
    <row r="18" spans="1:9" ht="31.5" x14ac:dyDescent="0.3">
      <c r="A18" s="61" t="s">
        <v>99</v>
      </c>
      <c r="B18" s="69">
        <f>'t3'!B399</f>
        <v>10608141.77</v>
      </c>
      <c r="C18" s="69">
        <f>'t3'!C399</f>
        <v>1217467.96</v>
      </c>
      <c r="D18" s="62">
        <v>0</v>
      </c>
      <c r="E18" s="62">
        <v>0</v>
      </c>
      <c r="F18" s="62">
        <f>SUM(B18:E18)</f>
        <v>11825609.73</v>
      </c>
      <c r="G18" s="48">
        <f>'t3'!G399</f>
        <v>196</v>
      </c>
      <c r="H18" s="149" t="str">
        <f>'t3'!H399</f>
        <v>โครงการ/กิจกรรม</v>
      </c>
      <c r="I18" s="62">
        <f t="shared" si="2"/>
        <v>60334.743520408163</v>
      </c>
    </row>
    <row r="19" spans="1:9" ht="37.5" x14ac:dyDescent="0.3">
      <c r="A19" s="61" t="s">
        <v>308</v>
      </c>
      <c r="B19" s="69">
        <f>'t3'!B400</f>
        <v>12105020</v>
      </c>
      <c r="C19" s="69">
        <f>'t3'!C400</f>
        <v>2444782.23</v>
      </c>
      <c r="D19" s="62">
        <v>0</v>
      </c>
      <c r="E19" s="62">
        <v>0</v>
      </c>
      <c r="F19" s="62">
        <f>SUM(B19:E19)</f>
        <v>14549802.23</v>
      </c>
      <c r="G19" s="48">
        <f>'t3'!G400</f>
        <v>89</v>
      </c>
      <c r="H19" s="149" t="str">
        <f>'t3'!H400</f>
        <v>เรื่อง</v>
      </c>
      <c r="I19" s="62">
        <f t="shared" si="2"/>
        <v>163480.92393258426</v>
      </c>
    </row>
    <row r="20" spans="1:9" ht="31.5" x14ac:dyDescent="0.3">
      <c r="A20" s="61" t="s">
        <v>309</v>
      </c>
      <c r="B20" s="69">
        <f>'t3'!B401</f>
        <v>1921389</v>
      </c>
      <c r="C20" s="69">
        <f>'t3'!C401</f>
        <v>509294</v>
      </c>
      <c r="D20" s="124">
        <v>0</v>
      </c>
      <c r="E20" s="62">
        <v>0</v>
      </c>
      <c r="F20" s="62">
        <f>SUM(B20:E20)</f>
        <v>2430683</v>
      </c>
      <c r="G20" s="48">
        <f>'t3'!G401</f>
        <v>61</v>
      </c>
      <c r="H20" s="149" t="str">
        <f>'t3'!H401</f>
        <v>โครงการ/กิจกรรม</v>
      </c>
      <c r="I20" s="62">
        <f t="shared" si="2"/>
        <v>39847.262295081964</v>
      </c>
    </row>
    <row r="21" spans="1:9" ht="37.5" x14ac:dyDescent="0.2">
      <c r="A21" s="65" t="s">
        <v>3</v>
      </c>
      <c r="B21" s="66">
        <f>SUM(B4:B20)</f>
        <v>369216575.05999994</v>
      </c>
      <c r="C21" s="66">
        <f t="shared" ref="C21:F21" si="3">SUM(C4:C20)</f>
        <v>88771906.329999983</v>
      </c>
      <c r="D21" s="66">
        <f t="shared" si="3"/>
        <v>5043828.6754950061</v>
      </c>
      <c r="E21" s="66">
        <f t="shared" si="3"/>
        <v>59094185.750000007</v>
      </c>
      <c r="F21" s="66">
        <f t="shared" si="3"/>
        <v>522126495.81549501</v>
      </c>
      <c r="G21" s="66"/>
      <c r="H21" s="66"/>
      <c r="I21" s="66"/>
    </row>
    <row r="22" spans="1:9" ht="18.75" x14ac:dyDescent="0.3">
      <c r="A22" s="3"/>
      <c r="B22" s="13"/>
      <c r="C22" s="13"/>
      <c r="D22" s="13"/>
      <c r="E22" s="13"/>
      <c r="F22" s="13"/>
      <c r="G22" s="13"/>
      <c r="H22" s="13"/>
      <c r="I22" s="13"/>
    </row>
    <row r="23" spans="1:9" ht="18.75" x14ac:dyDescent="0.3">
      <c r="A23" s="3"/>
      <c r="B23" s="14">
        <v>369216575.06</v>
      </c>
      <c r="C23" s="14">
        <v>88771906.329999998</v>
      </c>
      <c r="D23" s="14">
        <v>5042300.47</v>
      </c>
      <c r="E23" s="14">
        <v>59094185.75</v>
      </c>
      <c r="F23" s="14">
        <v>522124967.61000001</v>
      </c>
      <c r="G23" s="13"/>
      <c r="H23" s="13"/>
      <c r="I23" s="13"/>
    </row>
    <row r="24" spans="1:9" ht="18.75" x14ac:dyDescent="0.3">
      <c r="A24" s="3"/>
      <c r="B24" s="13"/>
      <c r="C24" s="13"/>
      <c r="D24" s="13"/>
      <c r="E24" s="13"/>
      <c r="F24" s="13"/>
      <c r="G24" s="13"/>
      <c r="H24" s="13"/>
      <c r="I24" s="13"/>
    </row>
    <row r="25" spans="1:9" ht="18.75" x14ac:dyDescent="0.3">
      <c r="A25" s="3"/>
      <c r="B25" s="14">
        <f>SUM(B21-B23)</f>
        <v>-5.9604644775390625E-8</v>
      </c>
      <c r="C25" s="14">
        <f t="shared" ref="C25:F25" si="4">SUM(C21-C23)</f>
        <v>-1.4901161193847656E-8</v>
      </c>
      <c r="D25" s="14">
        <f t="shared" si="4"/>
        <v>1528.2054950064048</v>
      </c>
      <c r="E25" s="14">
        <f>SUM(E21-E23)</f>
        <v>7.4505805969238281E-9</v>
      </c>
      <c r="F25" s="14">
        <f t="shared" si="4"/>
        <v>1528.2054949998856</v>
      </c>
      <c r="G25" s="14">
        <f>SUM(G4:G17)</f>
        <v>4498.920000000001</v>
      </c>
      <c r="H25" s="13"/>
      <c r="I25" s="1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view="pageBreakPreview" zoomScaleSheetLayoutView="100" workbookViewId="0">
      <selection activeCell="C16" sqref="C16"/>
    </sheetView>
  </sheetViews>
  <sheetFormatPr defaultRowHeight="18" x14ac:dyDescent="0.25"/>
  <cols>
    <col min="1" max="1" width="31" style="3" customWidth="1"/>
    <col min="2" max="3" width="17.375" style="3" bestFit="1" customWidth="1"/>
    <col min="4" max="4" width="12.625" style="3" customWidth="1"/>
    <col min="5" max="5" width="17.375" style="3" bestFit="1" customWidth="1"/>
    <col min="6" max="6" width="13.25" style="3" customWidth="1"/>
    <col min="7" max="7" width="36.125" style="3" bestFit="1" customWidth="1"/>
    <col min="8" max="8" width="19.125" style="3" bestFit="1" customWidth="1"/>
    <col min="9" max="10" width="17.375" style="3" bestFit="1" customWidth="1"/>
    <col min="11" max="16384" width="9" style="3"/>
  </cols>
  <sheetData>
    <row r="1" spans="1:9" ht="18.75" x14ac:dyDescent="0.3">
      <c r="A1" s="2" t="s">
        <v>51</v>
      </c>
      <c r="B1" s="20"/>
      <c r="C1" s="20"/>
      <c r="D1" s="20"/>
      <c r="E1" s="20"/>
      <c r="F1" s="20"/>
      <c r="G1" s="20"/>
      <c r="H1" s="20"/>
      <c r="I1" s="20"/>
    </row>
    <row r="2" spans="1:9" ht="18.75" x14ac:dyDescent="0.3">
      <c r="A2" s="2"/>
      <c r="B2" s="20"/>
      <c r="C2" s="20"/>
      <c r="D2" s="20"/>
      <c r="E2" s="27" t="s">
        <v>292</v>
      </c>
      <c r="F2" s="20"/>
      <c r="G2" s="20"/>
      <c r="H2" s="20"/>
      <c r="I2" s="20"/>
    </row>
    <row r="3" spans="1:9" ht="18.75" x14ac:dyDescent="0.3">
      <c r="A3" s="33" t="s">
        <v>0</v>
      </c>
      <c r="B3" s="33" t="s">
        <v>1</v>
      </c>
      <c r="C3" s="33" t="s">
        <v>2</v>
      </c>
      <c r="D3" s="33" t="s">
        <v>291</v>
      </c>
      <c r="E3" s="33" t="s">
        <v>3</v>
      </c>
    </row>
    <row r="4" spans="1:9" ht="18.75" x14ac:dyDescent="0.3">
      <c r="A4" s="43" t="s">
        <v>76</v>
      </c>
      <c r="B4" s="34">
        <v>71475942.599999994</v>
      </c>
      <c r="C4" s="14">
        <v>0</v>
      </c>
      <c r="D4" s="44">
        <f>SUM('t3'!D402)</f>
        <v>5042300.47</v>
      </c>
      <c r="E4" s="34">
        <f>SUM(B4:D4)</f>
        <v>76518243.069999993</v>
      </c>
    </row>
    <row r="5" spans="1:9" ht="18.75" x14ac:dyDescent="0.3">
      <c r="A5" s="45" t="s">
        <v>298</v>
      </c>
      <c r="B5" s="44">
        <v>48332114.579999998</v>
      </c>
      <c r="C5" s="146">
        <v>53467403.369999997</v>
      </c>
      <c r="D5" s="44"/>
      <c r="E5" s="34">
        <f t="shared" ref="E5:E8" si="0">SUM(B5:D5)</f>
        <v>101799517.94999999</v>
      </c>
    </row>
    <row r="6" spans="1:9" ht="18.75" x14ac:dyDescent="0.3">
      <c r="A6" s="45" t="s">
        <v>299</v>
      </c>
      <c r="B6" s="44">
        <v>58722817.68</v>
      </c>
      <c r="C6" s="146">
        <v>371368.07</v>
      </c>
      <c r="D6" s="44"/>
      <c r="E6" s="34">
        <f t="shared" si="0"/>
        <v>59094185.75</v>
      </c>
    </row>
    <row r="7" spans="1:9" ht="18.75" x14ac:dyDescent="0.3">
      <c r="A7" s="45" t="s">
        <v>300</v>
      </c>
      <c r="B7" s="44">
        <v>224508945.21000001</v>
      </c>
      <c r="C7" s="146">
        <v>21620699.07</v>
      </c>
      <c r="D7" s="44"/>
      <c r="E7" s="34">
        <f t="shared" si="0"/>
        <v>246129644.28</v>
      </c>
    </row>
    <row r="8" spans="1:9" ht="18.75" x14ac:dyDescent="0.3">
      <c r="A8" s="45" t="s">
        <v>301</v>
      </c>
      <c r="B8" s="44">
        <v>24899572.670000002</v>
      </c>
      <c r="C8" s="146">
        <v>13683803.890000001</v>
      </c>
      <c r="D8" s="44"/>
      <c r="E8" s="34">
        <f t="shared" si="0"/>
        <v>38583376.560000002</v>
      </c>
    </row>
    <row r="9" spans="1:9" ht="18.75" x14ac:dyDescent="0.3">
      <c r="A9" s="46" t="s">
        <v>3</v>
      </c>
      <c r="B9" s="47">
        <f>SUM(B4:B8)</f>
        <v>427939392.74000001</v>
      </c>
      <c r="C9" s="47">
        <f>SUM(C4:C8)</f>
        <v>89143274.399999991</v>
      </c>
      <c r="D9" s="47">
        <f>SUM(D4:D8)</f>
        <v>5042300.47</v>
      </c>
      <c r="E9" s="47">
        <f>SUM(E4:E8)</f>
        <v>522124967.60999995</v>
      </c>
    </row>
    <row r="10" spans="1:9" x14ac:dyDescent="0.25">
      <c r="G10" s="125"/>
    </row>
    <row r="11" spans="1:9" ht="18.75" x14ac:dyDescent="0.3">
      <c r="A11" s="26" t="s">
        <v>310</v>
      </c>
    </row>
    <row r="12" spans="1:9" ht="18.75" x14ac:dyDescent="0.3">
      <c r="A12" s="13" t="s">
        <v>311</v>
      </c>
      <c r="B12" s="13"/>
      <c r="C12" s="36">
        <v>688137204.50999999</v>
      </c>
      <c r="H12" s="133"/>
      <c r="I12" s="134"/>
    </row>
    <row r="13" spans="1:9" ht="18.75" x14ac:dyDescent="0.3">
      <c r="A13" s="13" t="s">
        <v>313</v>
      </c>
      <c r="B13" s="13"/>
      <c r="C13" s="36">
        <f>SUM(C12-C14)</f>
        <v>166012236.90000004</v>
      </c>
      <c r="H13" s="134"/>
    </row>
    <row r="14" spans="1:9" ht="18.75" x14ac:dyDescent="0.3">
      <c r="A14" s="13" t="s">
        <v>314</v>
      </c>
      <c r="B14" s="13"/>
      <c r="C14" s="36">
        <f>E9</f>
        <v>522124967.60999995</v>
      </c>
      <c r="H14" s="133"/>
    </row>
    <row r="15" spans="1:9" x14ac:dyDescent="0.25">
      <c r="A15" s="3" t="s">
        <v>312</v>
      </c>
    </row>
    <row r="17" spans="8:10" x14ac:dyDescent="0.25">
      <c r="H17" s="134"/>
      <c r="I17" s="134"/>
      <c r="J17" s="134"/>
    </row>
    <row r="18" spans="8:10" x14ac:dyDescent="0.25">
      <c r="H18" s="134"/>
      <c r="J18" s="134"/>
    </row>
    <row r="19" spans="8:10" x14ac:dyDescent="0.25">
      <c r="H19" s="134"/>
      <c r="I19" s="134"/>
      <c r="J19" s="134"/>
    </row>
    <row r="20" spans="8:10" x14ac:dyDescent="0.25">
      <c r="H20" s="134"/>
      <c r="I20" s="134"/>
      <c r="J20" s="134"/>
    </row>
    <row r="21" spans="8:10" x14ac:dyDescent="0.25">
      <c r="H21" s="134"/>
      <c r="I21" s="134"/>
      <c r="J21" s="134"/>
    </row>
    <row r="22" spans="8:10" x14ac:dyDescent="0.25">
      <c r="H22" s="134"/>
      <c r="J22" s="134"/>
    </row>
    <row r="23" spans="8:10" x14ac:dyDescent="0.25">
      <c r="H23" s="134"/>
      <c r="I23" s="134"/>
      <c r="J23" s="134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03"/>
  <sheetViews>
    <sheetView view="pageBreakPreview" topLeftCell="A385" zoomScaleNormal="80" zoomScaleSheetLayoutView="100" workbookViewId="0">
      <selection activeCell="A396" sqref="A396"/>
    </sheetView>
  </sheetViews>
  <sheetFormatPr defaultRowHeight="18.75" x14ac:dyDescent="0.3"/>
  <cols>
    <col min="1" max="1" width="56.625" style="14" customWidth="1"/>
    <col min="2" max="2" width="15.125" style="14" bestFit="1" customWidth="1"/>
    <col min="3" max="3" width="14.375" style="14" bestFit="1" customWidth="1"/>
    <col min="4" max="4" width="10.875" style="14" bestFit="1" customWidth="1"/>
    <col min="5" max="6" width="12.75" style="14" bestFit="1" customWidth="1"/>
    <col min="7" max="7" width="6.75" style="14" customWidth="1"/>
    <col min="8" max="8" width="10" style="14" customWidth="1"/>
    <col min="9" max="13" width="9" style="14"/>
    <col min="14" max="14" width="15.125" style="14" bestFit="1" customWidth="1"/>
    <col min="15" max="15" width="12.125" style="14" bestFit="1" customWidth="1"/>
    <col min="16" max="16" width="15.125" style="14" bestFit="1" customWidth="1"/>
    <col min="17" max="16384" width="9" style="14"/>
  </cols>
  <sheetData>
    <row r="1" spans="1:8" x14ac:dyDescent="0.3">
      <c r="A1" s="172" t="s">
        <v>140</v>
      </c>
    </row>
    <row r="2" spans="1:8" x14ac:dyDescent="0.3">
      <c r="A2" s="173" t="s">
        <v>141</v>
      </c>
      <c r="B2" s="174" t="s">
        <v>33</v>
      </c>
      <c r="C2" s="174" t="s">
        <v>8</v>
      </c>
      <c r="D2" s="175"/>
      <c r="E2" s="175"/>
      <c r="F2" s="175"/>
      <c r="G2" s="176"/>
      <c r="H2" s="176"/>
    </row>
    <row r="3" spans="1:8" x14ac:dyDescent="0.3">
      <c r="A3" s="177" t="s">
        <v>142</v>
      </c>
      <c r="B3" s="178"/>
      <c r="C3" s="178"/>
      <c r="D3" s="178"/>
      <c r="E3" s="178"/>
      <c r="F3" s="178"/>
      <c r="G3" s="179"/>
      <c r="H3" s="179"/>
    </row>
    <row r="4" spans="1:8" x14ac:dyDescent="0.3">
      <c r="A4" s="180" t="s">
        <v>143</v>
      </c>
      <c r="B4" s="6">
        <v>816984.5</v>
      </c>
      <c r="C4" s="6">
        <v>589371.84</v>
      </c>
      <c r="D4" s="181"/>
      <c r="E4" s="181"/>
      <c r="F4" s="181"/>
      <c r="G4" s="182"/>
      <c r="H4" s="182"/>
    </row>
    <row r="5" spans="1:8" x14ac:dyDescent="0.3">
      <c r="A5" s="180" t="s">
        <v>144</v>
      </c>
      <c r="B5" s="6">
        <v>0</v>
      </c>
      <c r="C5" s="6">
        <v>6620</v>
      </c>
      <c r="D5" s="181"/>
      <c r="E5" s="181"/>
      <c r="F5" s="181"/>
      <c r="G5" s="182"/>
      <c r="H5" s="182"/>
    </row>
    <row r="6" spans="1:8" x14ac:dyDescent="0.3">
      <c r="A6" s="180" t="s">
        <v>145</v>
      </c>
      <c r="B6" s="6">
        <v>1028275</v>
      </c>
      <c r="C6" s="6">
        <v>0</v>
      </c>
      <c r="D6" s="181"/>
      <c r="E6" s="181"/>
      <c r="F6" s="181"/>
      <c r="G6" s="182"/>
      <c r="H6" s="182"/>
    </row>
    <row r="7" spans="1:8" x14ac:dyDescent="0.3">
      <c r="A7" s="180" t="s">
        <v>146</v>
      </c>
      <c r="B7" s="6">
        <v>30000</v>
      </c>
      <c r="C7" s="6">
        <v>50000</v>
      </c>
      <c r="D7" s="181"/>
      <c r="E7" s="181"/>
      <c r="F7" s="181"/>
      <c r="G7" s="182"/>
      <c r="H7" s="182"/>
    </row>
    <row r="8" spans="1:8" x14ac:dyDescent="0.3">
      <c r="A8" s="180" t="s">
        <v>147</v>
      </c>
      <c r="B8" s="6">
        <v>1062540</v>
      </c>
      <c r="C8" s="6">
        <v>0</v>
      </c>
      <c r="D8" s="181"/>
      <c r="E8" s="181"/>
      <c r="F8" s="181"/>
      <c r="G8" s="182"/>
      <c r="H8" s="182"/>
    </row>
    <row r="9" spans="1:8" x14ac:dyDescent="0.3">
      <c r="A9" s="180" t="s">
        <v>148</v>
      </c>
      <c r="B9" s="6">
        <v>1904949.82</v>
      </c>
      <c r="C9" s="6">
        <v>0</v>
      </c>
      <c r="D9" s="181"/>
      <c r="E9" s="181"/>
      <c r="F9" s="181"/>
      <c r="G9" s="182"/>
      <c r="H9" s="182"/>
    </row>
    <row r="10" spans="1:8" x14ac:dyDescent="0.3">
      <c r="A10" s="180" t="s">
        <v>149</v>
      </c>
      <c r="B10" s="6">
        <v>2046840</v>
      </c>
      <c r="C10" s="6">
        <v>0</v>
      </c>
      <c r="D10" s="181"/>
      <c r="E10" s="181"/>
      <c r="F10" s="181"/>
      <c r="G10" s="182"/>
      <c r="H10" s="182"/>
    </row>
    <row r="11" spans="1:8" x14ac:dyDescent="0.3">
      <c r="A11" s="177" t="s">
        <v>150</v>
      </c>
      <c r="B11" s="178"/>
      <c r="C11" s="178"/>
      <c r="D11" s="178"/>
      <c r="E11" s="178"/>
      <c r="F11" s="178"/>
      <c r="G11" s="179"/>
      <c r="H11" s="179"/>
    </row>
    <row r="12" spans="1:8" x14ac:dyDescent="0.3">
      <c r="A12" s="180" t="s">
        <v>143</v>
      </c>
      <c r="B12" s="6">
        <v>50380</v>
      </c>
      <c r="C12" s="6">
        <v>164825</v>
      </c>
      <c r="D12" s="181"/>
      <c r="E12" s="181"/>
      <c r="F12" s="181"/>
      <c r="G12" s="182"/>
      <c r="H12" s="182"/>
    </row>
    <row r="13" spans="1:8" x14ac:dyDescent="0.3">
      <c r="A13" s="180" t="s">
        <v>145</v>
      </c>
      <c r="B13" s="6">
        <v>140850</v>
      </c>
      <c r="C13" s="6">
        <v>0</v>
      </c>
      <c r="D13" s="181"/>
      <c r="E13" s="181"/>
      <c r="F13" s="181"/>
      <c r="G13" s="182"/>
      <c r="H13" s="182"/>
    </row>
    <row r="14" spans="1:8" x14ac:dyDescent="0.3">
      <c r="A14" s="177" t="s">
        <v>151</v>
      </c>
      <c r="B14" s="178"/>
      <c r="C14" s="178"/>
      <c r="D14" s="178"/>
      <c r="E14" s="178"/>
      <c r="F14" s="178"/>
      <c r="G14" s="179"/>
      <c r="H14" s="179"/>
    </row>
    <row r="15" spans="1:8" x14ac:dyDescent="0.3">
      <c r="A15" s="180" t="s">
        <v>143</v>
      </c>
      <c r="B15" s="6">
        <v>123378.7</v>
      </c>
      <c r="C15" s="6">
        <v>140036</v>
      </c>
      <c r="D15" s="181"/>
      <c r="E15" s="181"/>
      <c r="F15" s="181"/>
      <c r="G15" s="182"/>
      <c r="H15" s="182"/>
    </row>
    <row r="16" spans="1:8" x14ac:dyDescent="0.3">
      <c r="A16" s="180" t="s">
        <v>145</v>
      </c>
      <c r="B16" s="6">
        <v>30000</v>
      </c>
      <c r="C16" s="6">
        <v>0</v>
      </c>
      <c r="D16" s="181"/>
      <c r="E16" s="181"/>
      <c r="F16" s="181"/>
      <c r="G16" s="182"/>
      <c r="H16" s="182"/>
    </row>
    <row r="17" spans="1:8" x14ac:dyDescent="0.3">
      <c r="A17" s="180" t="s">
        <v>146</v>
      </c>
      <c r="B17" s="6">
        <v>0</v>
      </c>
      <c r="C17" s="6">
        <v>4390</v>
      </c>
      <c r="D17" s="181"/>
      <c r="E17" s="181"/>
      <c r="F17" s="181"/>
      <c r="G17" s="182"/>
      <c r="H17" s="182"/>
    </row>
    <row r="18" spans="1:8" x14ac:dyDescent="0.3">
      <c r="A18" s="177" t="s">
        <v>152</v>
      </c>
      <c r="B18" s="178"/>
      <c r="C18" s="178"/>
      <c r="D18" s="178"/>
      <c r="E18" s="178"/>
      <c r="F18" s="178"/>
      <c r="G18" s="179"/>
      <c r="H18" s="179"/>
    </row>
    <row r="19" spans="1:8" x14ac:dyDescent="0.3">
      <c r="A19" s="180" t="s">
        <v>143</v>
      </c>
      <c r="B19" s="6">
        <v>54225</v>
      </c>
      <c r="C19" s="6">
        <v>108992</v>
      </c>
      <c r="D19" s="181"/>
      <c r="E19" s="181"/>
      <c r="F19" s="181"/>
      <c r="G19" s="182"/>
      <c r="H19" s="182"/>
    </row>
    <row r="20" spans="1:8" x14ac:dyDescent="0.3">
      <c r="A20" s="180" t="s">
        <v>145</v>
      </c>
      <c r="B20" s="6">
        <v>30000</v>
      </c>
      <c r="C20" s="6">
        <v>0</v>
      </c>
      <c r="D20" s="181"/>
      <c r="E20" s="181"/>
      <c r="F20" s="181"/>
      <c r="G20" s="182"/>
      <c r="H20" s="182"/>
    </row>
    <row r="21" spans="1:8" x14ac:dyDescent="0.3">
      <c r="A21" s="180" t="s">
        <v>146</v>
      </c>
      <c r="B21" s="6">
        <v>0</v>
      </c>
      <c r="C21" s="6">
        <v>2900</v>
      </c>
      <c r="D21" s="181"/>
      <c r="E21" s="181"/>
      <c r="F21" s="181"/>
      <c r="G21" s="182"/>
      <c r="H21" s="182"/>
    </row>
    <row r="22" spans="1:8" x14ac:dyDescent="0.3">
      <c r="A22" s="177" t="s">
        <v>153</v>
      </c>
      <c r="B22" s="178"/>
      <c r="C22" s="178"/>
      <c r="D22" s="178"/>
      <c r="E22" s="178"/>
      <c r="F22" s="178"/>
      <c r="G22" s="179"/>
      <c r="H22" s="179"/>
    </row>
    <row r="23" spans="1:8" x14ac:dyDescent="0.3">
      <c r="A23" s="180" t="s">
        <v>145</v>
      </c>
      <c r="B23" s="6">
        <v>302871.71999999997</v>
      </c>
      <c r="C23" s="6">
        <v>0</v>
      </c>
      <c r="D23" s="181"/>
      <c r="E23" s="181"/>
      <c r="F23" s="181"/>
      <c r="G23" s="182"/>
      <c r="H23" s="182"/>
    </row>
    <row r="24" spans="1:8" x14ac:dyDescent="0.3">
      <c r="A24" s="177" t="s">
        <v>154</v>
      </c>
      <c r="B24" s="178"/>
      <c r="C24" s="178"/>
      <c r="D24" s="178"/>
      <c r="E24" s="178"/>
      <c r="F24" s="178"/>
      <c r="G24" s="179"/>
      <c r="H24" s="179"/>
    </row>
    <row r="25" spans="1:8" x14ac:dyDescent="0.3">
      <c r="A25" s="180" t="s">
        <v>144</v>
      </c>
      <c r="B25" s="6">
        <v>0</v>
      </c>
      <c r="C25" s="6">
        <v>61512</v>
      </c>
      <c r="D25" s="181"/>
      <c r="E25" s="181"/>
      <c r="F25" s="181"/>
      <c r="G25" s="182"/>
      <c r="H25" s="182"/>
    </row>
    <row r="26" spans="1:8" x14ac:dyDescent="0.3">
      <c r="A26" s="180" t="s">
        <v>145</v>
      </c>
      <c r="B26" s="6">
        <v>399906</v>
      </c>
      <c r="C26" s="6">
        <v>0</v>
      </c>
      <c r="D26" s="181"/>
      <c r="E26" s="181"/>
      <c r="F26" s="181"/>
      <c r="G26" s="182"/>
      <c r="H26" s="182"/>
    </row>
    <row r="27" spans="1:8" x14ac:dyDescent="0.3">
      <c r="A27" s="177" t="s">
        <v>155</v>
      </c>
      <c r="B27" s="178"/>
      <c r="C27" s="178"/>
      <c r="D27" s="178"/>
      <c r="E27" s="178"/>
      <c r="F27" s="178"/>
      <c r="G27" s="179"/>
      <c r="H27" s="179"/>
    </row>
    <row r="28" spans="1:8" x14ac:dyDescent="0.3">
      <c r="A28" s="180" t="s">
        <v>143</v>
      </c>
      <c r="B28" s="6">
        <v>195232</v>
      </c>
      <c r="C28" s="6">
        <v>64120</v>
      </c>
      <c r="D28" s="181"/>
      <c r="E28" s="181"/>
      <c r="F28" s="181"/>
      <c r="G28" s="182"/>
      <c r="H28" s="182"/>
    </row>
    <row r="29" spans="1:8" x14ac:dyDescent="0.3">
      <c r="A29" s="180" t="s">
        <v>145</v>
      </c>
      <c r="B29" s="6">
        <v>30000</v>
      </c>
      <c r="C29" s="6">
        <v>0</v>
      </c>
      <c r="D29" s="181"/>
      <c r="E29" s="181"/>
      <c r="F29" s="181"/>
      <c r="G29" s="182"/>
      <c r="H29" s="182"/>
    </row>
    <row r="30" spans="1:8" x14ac:dyDescent="0.3">
      <c r="A30" s="180" t="s">
        <v>146</v>
      </c>
      <c r="B30" s="6">
        <v>34297</v>
      </c>
      <c r="C30" s="6">
        <v>0</v>
      </c>
      <c r="D30" s="181"/>
      <c r="E30" s="181"/>
      <c r="F30" s="181"/>
      <c r="G30" s="182"/>
      <c r="H30" s="182"/>
    </row>
    <row r="31" spans="1:8" x14ac:dyDescent="0.3">
      <c r="A31" s="177" t="s">
        <v>156</v>
      </c>
      <c r="B31" s="178"/>
      <c r="C31" s="178"/>
      <c r="D31" s="178"/>
      <c r="E31" s="178"/>
      <c r="F31" s="178"/>
      <c r="G31" s="179"/>
      <c r="H31" s="179"/>
    </row>
    <row r="32" spans="1:8" x14ac:dyDescent="0.3">
      <c r="A32" s="180" t="s">
        <v>143</v>
      </c>
      <c r="B32" s="6">
        <v>54204</v>
      </c>
      <c r="C32" s="6">
        <v>41176</v>
      </c>
      <c r="D32" s="181"/>
      <c r="E32" s="181"/>
      <c r="F32" s="181"/>
      <c r="G32" s="182"/>
      <c r="H32" s="182"/>
    </row>
    <row r="33" spans="1:8" x14ac:dyDescent="0.3">
      <c r="A33" s="180" t="s">
        <v>145</v>
      </c>
      <c r="B33" s="6">
        <v>20000</v>
      </c>
      <c r="C33" s="6">
        <v>0</v>
      </c>
      <c r="D33" s="181"/>
      <c r="E33" s="181"/>
      <c r="F33" s="181"/>
      <c r="G33" s="182"/>
      <c r="H33" s="182"/>
    </row>
    <row r="34" spans="1:8" x14ac:dyDescent="0.3">
      <c r="A34" s="180" t="s">
        <v>146</v>
      </c>
      <c r="B34" s="6">
        <v>0</v>
      </c>
      <c r="C34" s="6">
        <v>5000</v>
      </c>
      <c r="D34" s="181"/>
      <c r="E34" s="181"/>
      <c r="F34" s="181"/>
      <c r="G34" s="182"/>
      <c r="H34" s="182"/>
    </row>
    <row r="35" spans="1:8" x14ac:dyDescent="0.3">
      <c r="A35" s="177" t="s">
        <v>157</v>
      </c>
      <c r="B35" s="178"/>
      <c r="C35" s="178"/>
      <c r="D35" s="178"/>
      <c r="E35" s="178"/>
      <c r="F35" s="178"/>
      <c r="G35" s="179"/>
      <c r="H35" s="179"/>
    </row>
    <row r="36" spans="1:8" x14ac:dyDescent="0.3">
      <c r="A36" s="180" t="s">
        <v>143</v>
      </c>
      <c r="B36" s="6">
        <v>1382090.5</v>
      </c>
      <c r="C36" s="6">
        <v>90000</v>
      </c>
      <c r="D36" s="181"/>
      <c r="E36" s="181"/>
      <c r="F36" s="181"/>
      <c r="G36" s="182"/>
      <c r="H36" s="182"/>
    </row>
    <row r="37" spans="1:8" x14ac:dyDescent="0.3">
      <c r="A37" s="177" t="s">
        <v>158</v>
      </c>
      <c r="B37" s="178"/>
      <c r="C37" s="178"/>
      <c r="D37" s="178"/>
      <c r="E37" s="178"/>
      <c r="F37" s="178"/>
      <c r="G37" s="179"/>
      <c r="H37" s="179"/>
    </row>
    <row r="38" spans="1:8" x14ac:dyDescent="0.3">
      <c r="A38" s="180" t="s">
        <v>143</v>
      </c>
      <c r="B38" s="6">
        <v>296000</v>
      </c>
      <c r="C38" s="6">
        <v>361600</v>
      </c>
      <c r="D38" s="181"/>
      <c r="E38" s="181"/>
      <c r="F38" s="181"/>
      <c r="G38" s="182"/>
      <c r="H38" s="182"/>
    </row>
    <row r="39" spans="1:8" x14ac:dyDescent="0.3">
      <c r="A39" s="180" t="s">
        <v>145</v>
      </c>
      <c r="B39" s="6">
        <v>144240</v>
      </c>
      <c r="C39" s="6">
        <v>0</v>
      </c>
      <c r="D39" s="181"/>
      <c r="E39" s="181"/>
      <c r="F39" s="181"/>
      <c r="G39" s="182"/>
      <c r="H39" s="182"/>
    </row>
    <row r="40" spans="1:8" x14ac:dyDescent="0.3">
      <c r="A40" s="180" t="s">
        <v>146</v>
      </c>
      <c r="B40" s="6">
        <v>85100</v>
      </c>
      <c r="C40" s="6">
        <v>25000</v>
      </c>
      <c r="D40" s="181"/>
      <c r="E40" s="181"/>
      <c r="F40" s="181"/>
      <c r="G40" s="182"/>
      <c r="H40" s="182"/>
    </row>
    <row r="41" spans="1:8" x14ac:dyDescent="0.3">
      <c r="A41" s="172" t="s">
        <v>159</v>
      </c>
    </row>
    <row r="42" spans="1:8" x14ac:dyDescent="0.3">
      <c r="A42" s="173" t="s">
        <v>141</v>
      </c>
      <c r="B42" s="174" t="s">
        <v>33</v>
      </c>
      <c r="C42" s="174" t="s">
        <v>8</v>
      </c>
      <c r="D42" s="175"/>
      <c r="E42" s="175"/>
      <c r="F42" s="175"/>
      <c r="G42" s="176"/>
      <c r="H42" s="176"/>
    </row>
    <row r="43" spans="1:8" x14ac:dyDescent="0.3">
      <c r="A43" s="177" t="s">
        <v>160</v>
      </c>
      <c r="B43" s="178"/>
      <c r="C43" s="178"/>
      <c r="D43" s="178"/>
      <c r="E43" s="178"/>
      <c r="F43" s="178"/>
      <c r="G43" s="179"/>
      <c r="H43" s="179"/>
    </row>
    <row r="44" spans="1:8" x14ac:dyDescent="0.3">
      <c r="A44" s="180" t="s">
        <v>144</v>
      </c>
      <c r="B44" s="6">
        <v>575557.99</v>
      </c>
      <c r="C44" s="6">
        <v>954343.1</v>
      </c>
      <c r="D44" s="181"/>
      <c r="E44" s="181"/>
      <c r="F44" s="181"/>
      <c r="G44" s="182"/>
      <c r="H44" s="182"/>
    </row>
    <row r="45" spans="1:8" x14ac:dyDescent="0.3">
      <c r="A45" s="180" t="s">
        <v>145</v>
      </c>
      <c r="B45" s="6">
        <v>1238531.7</v>
      </c>
      <c r="C45" s="6">
        <v>0</v>
      </c>
      <c r="D45" s="181"/>
      <c r="E45" s="181"/>
      <c r="F45" s="181"/>
      <c r="G45" s="182"/>
      <c r="H45" s="182"/>
    </row>
    <row r="46" spans="1:8" x14ac:dyDescent="0.3">
      <c r="A46" s="180" t="s">
        <v>146</v>
      </c>
      <c r="B46" s="6">
        <v>69492</v>
      </c>
      <c r="C46" s="6">
        <v>0</v>
      </c>
      <c r="D46" s="181"/>
      <c r="E46" s="181"/>
      <c r="F46" s="181"/>
      <c r="G46" s="182"/>
      <c r="H46" s="182"/>
    </row>
    <row r="47" spans="1:8" x14ac:dyDescent="0.3">
      <c r="A47" s="180" t="s">
        <v>161</v>
      </c>
      <c r="B47" s="6">
        <v>257625</v>
      </c>
      <c r="C47" s="6">
        <v>0</v>
      </c>
      <c r="D47" s="181"/>
      <c r="E47" s="181"/>
      <c r="F47" s="181"/>
      <c r="G47" s="182"/>
      <c r="H47" s="182"/>
    </row>
    <row r="48" spans="1:8" x14ac:dyDescent="0.3">
      <c r="A48" s="180" t="s">
        <v>147</v>
      </c>
      <c r="B48" s="6">
        <v>652770</v>
      </c>
      <c r="C48" s="6">
        <v>0</v>
      </c>
      <c r="D48" s="181"/>
      <c r="E48" s="181"/>
      <c r="F48" s="181"/>
      <c r="G48" s="182"/>
      <c r="H48" s="182"/>
    </row>
    <row r="49" spans="1:8" x14ac:dyDescent="0.3">
      <c r="A49" s="180" t="s">
        <v>162</v>
      </c>
      <c r="B49" s="6">
        <v>153660</v>
      </c>
      <c r="C49" s="6">
        <v>0</v>
      </c>
      <c r="D49" s="181"/>
      <c r="E49" s="181"/>
      <c r="F49" s="181"/>
      <c r="G49" s="182"/>
      <c r="H49" s="182"/>
    </row>
    <row r="50" spans="1:8" x14ac:dyDescent="0.3">
      <c r="A50" s="180" t="s">
        <v>149</v>
      </c>
      <c r="B50" s="6">
        <v>134104</v>
      </c>
      <c r="C50" s="6">
        <v>0</v>
      </c>
      <c r="D50" s="181"/>
      <c r="E50" s="181"/>
      <c r="F50" s="181"/>
      <c r="G50" s="182"/>
      <c r="H50" s="182"/>
    </row>
    <row r="51" spans="1:8" x14ac:dyDescent="0.3">
      <c r="A51" s="177" t="s">
        <v>328</v>
      </c>
      <c r="B51" s="178"/>
      <c r="C51" s="178"/>
      <c r="D51" s="178"/>
      <c r="E51" s="178"/>
      <c r="F51" s="178"/>
      <c r="G51" s="179"/>
      <c r="H51" s="179"/>
    </row>
    <row r="52" spans="1:8" x14ac:dyDescent="0.3">
      <c r="A52" s="180" t="s">
        <v>144</v>
      </c>
      <c r="B52" s="6">
        <v>105368</v>
      </c>
      <c r="C52" s="6">
        <v>87710</v>
      </c>
      <c r="D52" s="181"/>
      <c r="E52" s="181"/>
      <c r="F52" s="181"/>
      <c r="G52" s="182"/>
      <c r="H52" s="182"/>
    </row>
    <row r="53" spans="1:8" x14ac:dyDescent="0.3">
      <c r="A53" s="177" t="s">
        <v>163</v>
      </c>
      <c r="B53" s="178"/>
      <c r="C53" s="178"/>
      <c r="D53" s="178"/>
      <c r="E53" s="178"/>
      <c r="F53" s="178"/>
      <c r="G53" s="179"/>
      <c r="H53" s="179"/>
    </row>
    <row r="54" spans="1:8" x14ac:dyDescent="0.3">
      <c r="A54" s="180" t="s">
        <v>144</v>
      </c>
      <c r="B54" s="6">
        <v>106940</v>
      </c>
      <c r="C54" s="6">
        <v>72562</v>
      </c>
      <c r="D54" s="181"/>
      <c r="E54" s="181"/>
      <c r="F54" s="181"/>
      <c r="G54" s="182"/>
      <c r="H54" s="182"/>
    </row>
    <row r="55" spans="1:8" x14ac:dyDescent="0.3">
      <c r="A55" s="177" t="s">
        <v>164</v>
      </c>
      <c r="B55" s="178"/>
      <c r="C55" s="178"/>
      <c r="D55" s="178"/>
      <c r="E55" s="178"/>
      <c r="F55" s="178"/>
      <c r="G55" s="179"/>
      <c r="H55" s="179"/>
    </row>
    <row r="56" spans="1:8" x14ac:dyDescent="0.3">
      <c r="A56" s="180" t="s">
        <v>144</v>
      </c>
      <c r="B56" s="6">
        <v>100620</v>
      </c>
      <c r="C56" s="6">
        <v>72590</v>
      </c>
      <c r="D56" s="181"/>
      <c r="E56" s="181"/>
      <c r="F56" s="181"/>
      <c r="G56" s="182"/>
      <c r="H56" s="182"/>
    </row>
    <row r="57" spans="1:8" x14ac:dyDescent="0.3">
      <c r="A57" s="177" t="s">
        <v>165</v>
      </c>
      <c r="B57" s="178"/>
      <c r="C57" s="178"/>
      <c r="D57" s="178"/>
      <c r="E57" s="178"/>
      <c r="F57" s="178"/>
      <c r="G57" s="179"/>
      <c r="H57" s="179"/>
    </row>
    <row r="58" spans="1:8" x14ac:dyDescent="0.3">
      <c r="A58" s="180" t="s">
        <v>143</v>
      </c>
      <c r="B58" s="6">
        <v>33738</v>
      </c>
      <c r="C58" s="6">
        <v>0</v>
      </c>
      <c r="D58" s="181"/>
      <c r="E58" s="181"/>
      <c r="F58" s="181"/>
      <c r="G58" s="182"/>
      <c r="H58" s="182"/>
    </row>
    <row r="59" spans="1:8" x14ac:dyDescent="0.3">
      <c r="A59" s="180" t="s">
        <v>144</v>
      </c>
      <c r="B59" s="6">
        <v>150886</v>
      </c>
      <c r="C59" s="6">
        <v>134468</v>
      </c>
      <c r="D59" s="181"/>
      <c r="E59" s="181"/>
      <c r="F59" s="181"/>
      <c r="G59" s="182"/>
      <c r="H59" s="182"/>
    </row>
    <row r="60" spans="1:8" x14ac:dyDescent="0.3">
      <c r="A60" s="177" t="s">
        <v>166</v>
      </c>
      <c r="B60" s="178"/>
      <c r="C60" s="178"/>
      <c r="D60" s="178"/>
      <c r="E60" s="178"/>
      <c r="F60" s="178"/>
      <c r="G60" s="179"/>
      <c r="H60" s="179"/>
    </row>
    <row r="61" spans="1:8" x14ac:dyDescent="0.3">
      <c r="A61" s="180" t="s">
        <v>144</v>
      </c>
      <c r="B61" s="6">
        <v>30500</v>
      </c>
      <c r="C61" s="6">
        <v>65798</v>
      </c>
      <c r="D61" s="181"/>
      <c r="E61" s="181"/>
      <c r="F61" s="181"/>
      <c r="G61" s="182"/>
      <c r="H61" s="182"/>
    </row>
    <row r="62" spans="1:8" x14ac:dyDescent="0.3">
      <c r="A62" s="177" t="s">
        <v>167</v>
      </c>
      <c r="B62" s="178"/>
      <c r="C62" s="178"/>
      <c r="D62" s="178"/>
      <c r="E62" s="178"/>
      <c r="F62" s="178"/>
      <c r="G62" s="179"/>
      <c r="H62" s="179"/>
    </row>
    <row r="63" spans="1:8" x14ac:dyDescent="0.3">
      <c r="A63" s="180" t="s">
        <v>144</v>
      </c>
      <c r="B63" s="6">
        <v>68027.600000000006</v>
      </c>
      <c r="C63" s="6">
        <v>16993.07</v>
      </c>
      <c r="D63" s="181"/>
      <c r="E63" s="181"/>
      <c r="F63" s="181"/>
      <c r="G63" s="182"/>
      <c r="H63" s="182"/>
    </row>
    <row r="64" spans="1:8" x14ac:dyDescent="0.3">
      <c r="A64" s="177" t="s">
        <v>168</v>
      </c>
      <c r="B64" s="178"/>
      <c r="C64" s="178"/>
      <c r="D64" s="178"/>
      <c r="E64" s="178"/>
      <c r="F64" s="178"/>
      <c r="G64" s="179"/>
      <c r="H64" s="179"/>
    </row>
    <row r="65" spans="1:8" x14ac:dyDescent="0.3">
      <c r="A65" s="180" t="s">
        <v>144</v>
      </c>
      <c r="B65" s="6">
        <v>749999.2</v>
      </c>
      <c r="C65" s="6">
        <v>0</v>
      </c>
      <c r="D65" s="181"/>
      <c r="E65" s="181"/>
      <c r="F65" s="181"/>
      <c r="G65" s="182"/>
      <c r="H65" s="182"/>
    </row>
    <row r="66" spans="1:8" x14ac:dyDescent="0.3">
      <c r="A66" s="177" t="s">
        <v>169</v>
      </c>
      <c r="B66" s="178"/>
      <c r="C66" s="178"/>
      <c r="D66" s="178"/>
      <c r="E66" s="178"/>
      <c r="F66" s="178"/>
      <c r="G66" s="179"/>
      <c r="H66" s="179"/>
    </row>
    <row r="67" spans="1:8" x14ac:dyDescent="0.3">
      <c r="A67" s="180" t="s">
        <v>143</v>
      </c>
      <c r="B67" s="6">
        <v>8420</v>
      </c>
      <c r="C67" s="6">
        <v>0</v>
      </c>
      <c r="D67" s="181"/>
      <c r="E67" s="181"/>
      <c r="F67" s="181"/>
      <c r="G67" s="182"/>
      <c r="H67" s="182"/>
    </row>
    <row r="68" spans="1:8" x14ac:dyDescent="0.3">
      <c r="A68" s="180" t="s">
        <v>144</v>
      </c>
      <c r="B68" s="6">
        <v>163335</v>
      </c>
      <c r="C68" s="6">
        <v>63000</v>
      </c>
      <c r="D68" s="181"/>
      <c r="E68" s="181"/>
      <c r="F68" s="181"/>
      <c r="G68" s="182"/>
      <c r="H68" s="182"/>
    </row>
    <row r="69" spans="1:8" x14ac:dyDescent="0.3">
      <c r="A69" s="180" t="s">
        <v>146</v>
      </c>
      <c r="B69" s="6">
        <v>65000</v>
      </c>
      <c r="C69" s="6">
        <v>0</v>
      </c>
      <c r="D69" s="181"/>
      <c r="E69" s="181"/>
      <c r="F69" s="181"/>
      <c r="G69" s="182"/>
      <c r="H69" s="182"/>
    </row>
    <row r="70" spans="1:8" x14ac:dyDescent="0.3">
      <c r="A70" s="177" t="s">
        <v>329</v>
      </c>
      <c r="B70" s="178"/>
      <c r="C70" s="178"/>
      <c r="D70" s="178"/>
      <c r="E70" s="178"/>
      <c r="F70" s="178"/>
      <c r="G70" s="179"/>
      <c r="H70" s="179"/>
    </row>
    <row r="71" spans="1:8" x14ac:dyDescent="0.3">
      <c r="A71" s="180" t="s">
        <v>143</v>
      </c>
      <c r="B71" s="6">
        <v>20778</v>
      </c>
      <c r="C71" s="6">
        <v>0</v>
      </c>
      <c r="D71" s="181"/>
      <c r="E71" s="181"/>
      <c r="F71" s="181"/>
      <c r="G71" s="182"/>
      <c r="H71" s="182"/>
    </row>
    <row r="72" spans="1:8" x14ac:dyDescent="0.3">
      <c r="A72" s="180" t="s">
        <v>144</v>
      </c>
      <c r="B72" s="6">
        <v>144803</v>
      </c>
      <c r="C72" s="6">
        <v>134041.9</v>
      </c>
      <c r="D72" s="181"/>
      <c r="E72" s="181"/>
      <c r="F72" s="181"/>
      <c r="G72" s="182"/>
      <c r="H72" s="182"/>
    </row>
    <row r="73" spans="1:8" x14ac:dyDescent="0.3">
      <c r="A73" s="177" t="s">
        <v>170</v>
      </c>
      <c r="B73" s="178"/>
      <c r="C73" s="178"/>
      <c r="D73" s="178"/>
      <c r="E73" s="178"/>
      <c r="F73" s="178"/>
      <c r="G73" s="179"/>
      <c r="H73" s="179"/>
    </row>
    <row r="74" spans="1:8" x14ac:dyDescent="0.3">
      <c r="A74" s="180" t="s">
        <v>143</v>
      </c>
      <c r="B74" s="6">
        <v>13362</v>
      </c>
      <c r="C74" s="6">
        <v>0</v>
      </c>
      <c r="D74" s="181"/>
      <c r="E74" s="181"/>
      <c r="F74" s="181"/>
      <c r="G74" s="182"/>
      <c r="H74" s="182"/>
    </row>
    <row r="75" spans="1:8" x14ac:dyDescent="0.3">
      <c r="A75" s="180" t="s">
        <v>144</v>
      </c>
      <c r="B75" s="6">
        <v>120139.22</v>
      </c>
      <c r="C75" s="6">
        <v>134779.65</v>
      </c>
      <c r="D75" s="181"/>
      <c r="E75" s="181"/>
      <c r="F75" s="181"/>
      <c r="G75" s="182"/>
      <c r="H75" s="182"/>
    </row>
    <row r="76" spans="1:8" x14ac:dyDescent="0.3">
      <c r="A76" s="177" t="s">
        <v>171</v>
      </c>
      <c r="B76" s="178"/>
      <c r="C76" s="178"/>
      <c r="D76" s="178"/>
      <c r="E76" s="178"/>
      <c r="F76" s="178"/>
      <c r="G76" s="179"/>
      <c r="H76" s="179"/>
    </row>
    <row r="77" spans="1:8" x14ac:dyDescent="0.3">
      <c r="A77" s="180" t="s">
        <v>143</v>
      </c>
      <c r="B77" s="6">
        <v>10760</v>
      </c>
      <c r="C77" s="6">
        <v>0</v>
      </c>
      <c r="D77" s="181"/>
      <c r="E77" s="181"/>
      <c r="F77" s="181"/>
      <c r="G77" s="182"/>
      <c r="H77" s="182"/>
    </row>
    <row r="78" spans="1:8" x14ac:dyDescent="0.3">
      <c r="A78" s="180" t="s">
        <v>144</v>
      </c>
      <c r="B78" s="6">
        <v>113336.3</v>
      </c>
      <c r="C78" s="6">
        <v>122020</v>
      </c>
      <c r="D78" s="181"/>
      <c r="E78" s="181"/>
      <c r="F78" s="181"/>
      <c r="G78" s="182"/>
      <c r="H78" s="182"/>
    </row>
    <row r="79" spans="1:8" x14ac:dyDescent="0.3">
      <c r="A79" s="177" t="s">
        <v>172</v>
      </c>
      <c r="B79" s="178"/>
      <c r="C79" s="178"/>
      <c r="D79" s="178"/>
      <c r="E79" s="178"/>
      <c r="F79" s="178"/>
      <c r="G79" s="179"/>
      <c r="H79" s="179"/>
    </row>
    <row r="80" spans="1:8" x14ac:dyDescent="0.3">
      <c r="A80" s="180" t="s">
        <v>144</v>
      </c>
      <c r="B80" s="6">
        <v>70766.7</v>
      </c>
      <c r="C80" s="6">
        <v>37868</v>
      </c>
      <c r="D80" s="181"/>
      <c r="E80" s="181"/>
      <c r="F80" s="181"/>
      <c r="G80" s="182"/>
      <c r="H80" s="182"/>
    </row>
    <row r="81" spans="1:8" x14ac:dyDescent="0.3">
      <c r="A81" s="172" t="s">
        <v>173</v>
      </c>
    </row>
    <row r="82" spans="1:8" x14ac:dyDescent="0.3">
      <c r="A82" s="173" t="s">
        <v>141</v>
      </c>
      <c r="B82" s="174" t="s">
        <v>33</v>
      </c>
      <c r="C82" s="174" t="s">
        <v>8</v>
      </c>
      <c r="D82" s="175"/>
      <c r="E82" s="175"/>
      <c r="F82" s="175"/>
      <c r="G82" s="176"/>
      <c r="H82" s="176"/>
    </row>
    <row r="83" spans="1:8" x14ac:dyDescent="0.3">
      <c r="A83" s="177" t="s">
        <v>174</v>
      </c>
      <c r="B83" s="178"/>
      <c r="C83" s="178"/>
      <c r="D83" s="178"/>
      <c r="E83" s="178"/>
      <c r="F83" s="178"/>
      <c r="G83" s="179"/>
      <c r="H83" s="179"/>
    </row>
    <row r="84" spans="1:8" x14ac:dyDescent="0.3">
      <c r="A84" s="180" t="s">
        <v>143</v>
      </c>
      <c r="B84" s="6">
        <v>774639.2</v>
      </c>
      <c r="C84" s="6">
        <v>665081.31999999995</v>
      </c>
      <c r="D84" s="181"/>
      <c r="E84" s="181"/>
      <c r="F84" s="181"/>
      <c r="G84" s="182"/>
      <c r="H84" s="182"/>
    </row>
    <row r="85" spans="1:8" x14ac:dyDescent="0.3">
      <c r="A85" s="180" t="s">
        <v>145</v>
      </c>
      <c r="B85" s="6">
        <v>1823264.6</v>
      </c>
      <c r="C85" s="6">
        <v>184151</v>
      </c>
      <c r="D85" s="181"/>
      <c r="E85" s="181"/>
      <c r="F85" s="181"/>
      <c r="G85" s="182"/>
      <c r="H85" s="182"/>
    </row>
    <row r="86" spans="1:8" x14ac:dyDescent="0.3">
      <c r="A86" s="180" t="s">
        <v>146</v>
      </c>
      <c r="B86" s="6">
        <v>284800</v>
      </c>
      <c r="C86" s="6">
        <v>0</v>
      </c>
      <c r="D86" s="181"/>
      <c r="E86" s="181"/>
      <c r="F86" s="181"/>
      <c r="G86" s="182"/>
      <c r="H86" s="182"/>
    </row>
    <row r="87" spans="1:8" x14ac:dyDescent="0.3">
      <c r="A87" s="180" t="s">
        <v>147</v>
      </c>
      <c r="B87" s="6">
        <v>1669950</v>
      </c>
      <c r="C87" s="6">
        <v>0</v>
      </c>
      <c r="D87" s="181"/>
      <c r="E87" s="181"/>
      <c r="F87" s="181"/>
      <c r="G87" s="182"/>
      <c r="H87" s="182"/>
    </row>
    <row r="88" spans="1:8" x14ac:dyDescent="0.3">
      <c r="A88" s="180" t="s">
        <v>162</v>
      </c>
      <c r="B88" s="6">
        <v>283500</v>
      </c>
      <c r="C88" s="6">
        <v>0</v>
      </c>
      <c r="D88" s="181"/>
      <c r="E88" s="181"/>
      <c r="F88" s="181"/>
      <c r="G88" s="182"/>
      <c r="H88" s="182"/>
    </row>
    <row r="89" spans="1:8" x14ac:dyDescent="0.3">
      <c r="A89" s="180" t="s">
        <v>175</v>
      </c>
      <c r="B89" s="6">
        <v>712510</v>
      </c>
      <c r="C89" s="6">
        <v>0</v>
      </c>
      <c r="D89" s="181"/>
      <c r="E89" s="181"/>
      <c r="F89" s="181"/>
      <c r="G89" s="182"/>
      <c r="H89" s="182"/>
    </row>
    <row r="90" spans="1:8" x14ac:dyDescent="0.3">
      <c r="A90" s="177" t="s">
        <v>176</v>
      </c>
      <c r="B90" s="178"/>
      <c r="C90" s="178"/>
      <c r="D90" s="178"/>
      <c r="E90" s="178"/>
      <c r="F90" s="178"/>
      <c r="G90" s="179"/>
      <c r="H90" s="179"/>
    </row>
    <row r="91" spans="1:8" x14ac:dyDescent="0.3">
      <c r="A91" s="180" t="s">
        <v>143</v>
      </c>
      <c r="B91" s="6">
        <v>112383</v>
      </c>
      <c r="C91" s="6">
        <v>52588.1</v>
      </c>
      <c r="D91" s="181"/>
      <c r="E91" s="181"/>
      <c r="F91" s="181"/>
      <c r="G91" s="182"/>
      <c r="H91" s="182"/>
    </row>
    <row r="92" spans="1:8" x14ac:dyDescent="0.3">
      <c r="A92" s="180" t="s">
        <v>145</v>
      </c>
      <c r="B92" s="6">
        <v>20000</v>
      </c>
      <c r="C92" s="6">
        <v>0</v>
      </c>
      <c r="D92" s="181"/>
      <c r="E92" s="181"/>
      <c r="F92" s="181"/>
      <c r="G92" s="182"/>
      <c r="H92" s="182"/>
    </row>
    <row r="93" spans="1:8" x14ac:dyDescent="0.3">
      <c r="A93" s="177" t="s">
        <v>177</v>
      </c>
      <c r="B93" s="178"/>
      <c r="C93" s="178"/>
      <c r="D93" s="178"/>
      <c r="E93" s="178"/>
      <c r="F93" s="178"/>
      <c r="G93" s="179"/>
      <c r="H93" s="179"/>
    </row>
    <row r="94" spans="1:8" x14ac:dyDescent="0.3">
      <c r="A94" s="180" t="s">
        <v>143</v>
      </c>
      <c r="B94" s="6">
        <v>150524</v>
      </c>
      <c r="C94" s="6">
        <v>0</v>
      </c>
      <c r="D94" s="181"/>
      <c r="E94" s="181"/>
      <c r="F94" s="181"/>
      <c r="G94" s="182"/>
      <c r="H94" s="182"/>
    </row>
    <row r="95" spans="1:8" x14ac:dyDescent="0.3">
      <c r="A95" s="180" t="s">
        <v>145</v>
      </c>
      <c r="B95" s="6">
        <v>19640</v>
      </c>
      <c r="C95" s="6">
        <v>0</v>
      </c>
      <c r="D95" s="181"/>
      <c r="E95" s="181"/>
      <c r="F95" s="181"/>
      <c r="G95" s="182"/>
      <c r="H95" s="182"/>
    </row>
    <row r="96" spans="1:8" x14ac:dyDescent="0.3">
      <c r="A96" s="177" t="s">
        <v>178</v>
      </c>
      <c r="B96" s="178"/>
      <c r="C96" s="178"/>
      <c r="D96" s="178"/>
      <c r="E96" s="178"/>
      <c r="F96" s="178"/>
      <c r="G96" s="179"/>
      <c r="H96" s="179"/>
    </row>
    <row r="97" spans="1:8" x14ac:dyDescent="0.3">
      <c r="A97" s="180" t="s">
        <v>143</v>
      </c>
      <c r="B97" s="6">
        <v>274008.53000000003</v>
      </c>
      <c r="C97" s="6">
        <v>139646</v>
      </c>
      <c r="D97" s="181"/>
      <c r="E97" s="181"/>
      <c r="F97" s="181"/>
      <c r="G97" s="182"/>
      <c r="H97" s="182"/>
    </row>
    <row r="98" spans="1:8" x14ac:dyDescent="0.3">
      <c r="A98" s="180" t="s">
        <v>145</v>
      </c>
      <c r="B98" s="6">
        <v>20000</v>
      </c>
      <c r="C98" s="6">
        <v>0</v>
      </c>
      <c r="D98" s="181"/>
      <c r="E98" s="181"/>
      <c r="F98" s="181"/>
      <c r="G98" s="182"/>
      <c r="H98" s="182"/>
    </row>
    <row r="99" spans="1:8" x14ac:dyDescent="0.3">
      <c r="A99" s="177" t="s">
        <v>179</v>
      </c>
      <c r="B99" s="178"/>
      <c r="C99" s="178"/>
      <c r="D99" s="178"/>
      <c r="E99" s="178"/>
      <c r="F99" s="178"/>
      <c r="G99" s="179"/>
      <c r="H99" s="179"/>
    </row>
    <row r="100" spans="1:8" x14ac:dyDescent="0.3">
      <c r="A100" s="180" t="s">
        <v>143</v>
      </c>
      <c r="B100" s="6">
        <v>144580</v>
      </c>
      <c r="C100" s="6">
        <v>108082</v>
      </c>
      <c r="D100" s="181"/>
      <c r="E100" s="181"/>
      <c r="F100" s="181"/>
      <c r="G100" s="182"/>
      <c r="H100" s="182"/>
    </row>
    <row r="101" spans="1:8" x14ac:dyDescent="0.3">
      <c r="A101" s="180" t="s">
        <v>145</v>
      </c>
      <c r="B101" s="6">
        <v>20000</v>
      </c>
      <c r="C101" s="6">
        <v>0</v>
      </c>
      <c r="D101" s="181"/>
      <c r="E101" s="181"/>
      <c r="F101" s="181"/>
      <c r="G101" s="182"/>
      <c r="H101" s="182"/>
    </row>
    <row r="102" spans="1:8" x14ac:dyDescent="0.3">
      <c r="A102" s="177" t="s">
        <v>180</v>
      </c>
      <c r="B102" s="178"/>
      <c r="C102" s="178"/>
      <c r="D102" s="178"/>
      <c r="E102" s="178"/>
      <c r="F102" s="178"/>
      <c r="G102" s="179"/>
      <c r="H102" s="179"/>
    </row>
    <row r="103" spans="1:8" x14ac:dyDescent="0.3">
      <c r="A103" s="180" t="s">
        <v>143</v>
      </c>
      <c r="B103" s="6">
        <v>80206</v>
      </c>
      <c r="C103" s="6">
        <v>62325</v>
      </c>
      <c r="D103" s="181"/>
      <c r="E103" s="181"/>
      <c r="F103" s="181"/>
      <c r="G103" s="182"/>
      <c r="H103" s="182"/>
    </row>
    <row r="104" spans="1:8" x14ac:dyDescent="0.3">
      <c r="A104" s="180" t="s">
        <v>145</v>
      </c>
      <c r="B104" s="6">
        <v>20000</v>
      </c>
      <c r="C104" s="6">
        <v>0</v>
      </c>
      <c r="D104" s="181"/>
      <c r="E104" s="181"/>
      <c r="F104" s="181"/>
      <c r="G104" s="182"/>
      <c r="H104" s="182"/>
    </row>
    <row r="105" spans="1:8" x14ac:dyDescent="0.3">
      <c r="A105" s="177" t="s">
        <v>181</v>
      </c>
      <c r="B105" s="178"/>
      <c r="C105" s="178"/>
      <c r="D105" s="178"/>
      <c r="E105" s="178"/>
      <c r="F105" s="178"/>
      <c r="G105" s="179"/>
      <c r="H105" s="179"/>
    </row>
    <row r="106" spans="1:8" x14ac:dyDescent="0.3">
      <c r="A106" s="180" t="s">
        <v>143</v>
      </c>
      <c r="B106" s="6">
        <v>153267</v>
      </c>
      <c r="C106" s="6">
        <v>92166.1</v>
      </c>
      <c r="D106" s="181"/>
      <c r="E106" s="181"/>
      <c r="F106" s="181"/>
      <c r="G106" s="182"/>
      <c r="H106" s="182"/>
    </row>
    <row r="107" spans="1:8" x14ac:dyDescent="0.3">
      <c r="A107" s="180" t="s">
        <v>145</v>
      </c>
      <c r="B107" s="6">
        <v>18800</v>
      </c>
      <c r="C107" s="6">
        <v>0</v>
      </c>
      <c r="D107" s="181"/>
      <c r="E107" s="181"/>
      <c r="F107" s="181"/>
      <c r="G107" s="182"/>
      <c r="H107" s="182"/>
    </row>
    <row r="108" spans="1:8" x14ac:dyDescent="0.3">
      <c r="A108" s="177" t="s">
        <v>182</v>
      </c>
      <c r="B108" s="178"/>
      <c r="C108" s="178"/>
      <c r="D108" s="178"/>
      <c r="E108" s="178"/>
      <c r="F108" s="178"/>
      <c r="G108" s="179"/>
      <c r="H108" s="179"/>
    </row>
    <row r="109" spans="1:8" x14ac:dyDescent="0.3">
      <c r="A109" s="180" t="s">
        <v>143</v>
      </c>
      <c r="B109" s="6">
        <v>338213</v>
      </c>
      <c r="C109" s="6">
        <v>148057.29</v>
      </c>
      <c r="D109" s="181"/>
      <c r="E109" s="181"/>
      <c r="F109" s="181"/>
      <c r="G109" s="182"/>
      <c r="H109" s="182"/>
    </row>
    <row r="110" spans="1:8" x14ac:dyDescent="0.3">
      <c r="A110" s="180" t="s">
        <v>145</v>
      </c>
      <c r="B110" s="6">
        <v>14851</v>
      </c>
      <c r="C110" s="6">
        <v>0</v>
      </c>
      <c r="D110" s="181"/>
      <c r="E110" s="181"/>
      <c r="F110" s="181"/>
      <c r="G110" s="182"/>
      <c r="H110" s="182"/>
    </row>
    <row r="111" spans="1:8" x14ac:dyDescent="0.3">
      <c r="A111" s="177" t="s">
        <v>183</v>
      </c>
      <c r="B111" s="178"/>
      <c r="C111" s="178"/>
      <c r="D111" s="178"/>
      <c r="E111" s="178"/>
      <c r="F111" s="178"/>
      <c r="G111" s="179"/>
      <c r="H111" s="179"/>
    </row>
    <row r="112" spans="1:8" x14ac:dyDescent="0.3">
      <c r="A112" s="180" t="s">
        <v>143</v>
      </c>
      <c r="B112" s="6">
        <v>392818</v>
      </c>
      <c r="C112" s="6">
        <v>512570</v>
      </c>
      <c r="D112" s="181"/>
      <c r="E112" s="181"/>
      <c r="F112" s="181"/>
      <c r="G112" s="182"/>
      <c r="H112" s="182"/>
    </row>
    <row r="113" spans="1:8" x14ac:dyDescent="0.3">
      <c r="A113" s="180" t="s">
        <v>145</v>
      </c>
      <c r="B113" s="6">
        <v>20000</v>
      </c>
      <c r="C113" s="6">
        <v>0</v>
      </c>
      <c r="D113" s="181"/>
      <c r="E113" s="181"/>
      <c r="F113" s="181"/>
      <c r="G113" s="182"/>
      <c r="H113" s="182"/>
    </row>
    <row r="114" spans="1:8" x14ac:dyDescent="0.3">
      <c r="A114" s="177" t="s">
        <v>184</v>
      </c>
      <c r="B114" s="178"/>
      <c r="C114" s="178"/>
      <c r="D114" s="178"/>
      <c r="E114" s="178"/>
      <c r="F114" s="178"/>
      <c r="G114" s="179"/>
      <c r="H114" s="179"/>
    </row>
    <row r="115" spans="1:8" x14ac:dyDescent="0.3">
      <c r="A115" s="180" t="s">
        <v>143</v>
      </c>
      <c r="B115" s="6">
        <v>201632</v>
      </c>
      <c r="C115" s="6">
        <v>226071</v>
      </c>
      <c r="D115" s="181"/>
      <c r="E115" s="181"/>
      <c r="F115" s="181"/>
      <c r="G115" s="182"/>
      <c r="H115" s="182"/>
    </row>
    <row r="116" spans="1:8" x14ac:dyDescent="0.3">
      <c r="A116" s="180" t="s">
        <v>145</v>
      </c>
      <c r="B116" s="6">
        <v>20000</v>
      </c>
      <c r="C116" s="6">
        <v>0</v>
      </c>
      <c r="D116" s="181"/>
      <c r="E116" s="181"/>
      <c r="F116" s="181"/>
      <c r="G116" s="182"/>
      <c r="H116" s="182"/>
    </row>
    <row r="117" spans="1:8" x14ac:dyDescent="0.3">
      <c r="A117" s="177" t="s">
        <v>185</v>
      </c>
      <c r="B117" s="178"/>
      <c r="C117" s="178"/>
      <c r="D117" s="178"/>
      <c r="E117" s="178"/>
      <c r="F117" s="178"/>
      <c r="G117" s="179"/>
      <c r="H117" s="179"/>
    </row>
    <row r="118" spans="1:8" x14ac:dyDescent="0.3">
      <c r="A118" s="180" t="s">
        <v>143</v>
      </c>
      <c r="B118" s="6">
        <v>83897.48</v>
      </c>
      <c r="C118" s="6">
        <v>56000</v>
      </c>
      <c r="D118" s="181"/>
      <c r="E118" s="181"/>
      <c r="F118" s="181"/>
      <c r="G118" s="182"/>
      <c r="H118" s="182"/>
    </row>
    <row r="119" spans="1:8" x14ac:dyDescent="0.3">
      <c r="A119" s="180" t="s">
        <v>145</v>
      </c>
      <c r="B119" s="6">
        <v>20000</v>
      </c>
      <c r="C119" s="6">
        <v>0</v>
      </c>
      <c r="D119" s="181"/>
      <c r="E119" s="181"/>
      <c r="F119" s="181"/>
      <c r="G119" s="182"/>
      <c r="H119" s="182"/>
    </row>
    <row r="120" spans="1:8" x14ac:dyDescent="0.3">
      <c r="A120" s="177" t="s">
        <v>186</v>
      </c>
      <c r="B120" s="178"/>
      <c r="C120" s="178"/>
      <c r="D120" s="178"/>
      <c r="E120" s="178"/>
      <c r="F120" s="178"/>
      <c r="G120" s="179"/>
      <c r="H120" s="179"/>
    </row>
    <row r="121" spans="1:8" x14ac:dyDescent="0.3">
      <c r="A121" s="180" t="s">
        <v>143</v>
      </c>
      <c r="B121" s="6">
        <v>118982.5</v>
      </c>
      <c r="C121" s="6">
        <v>77200</v>
      </c>
      <c r="D121" s="181"/>
      <c r="E121" s="181"/>
      <c r="F121" s="181"/>
      <c r="G121" s="182"/>
      <c r="H121" s="182"/>
    </row>
    <row r="122" spans="1:8" x14ac:dyDescent="0.3">
      <c r="A122" s="180" t="s">
        <v>145</v>
      </c>
      <c r="B122" s="6">
        <v>20000</v>
      </c>
      <c r="C122" s="6">
        <v>0</v>
      </c>
      <c r="D122" s="181"/>
      <c r="E122" s="181"/>
      <c r="F122" s="181"/>
      <c r="G122" s="182"/>
      <c r="H122" s="182"/>
    </row>
    <row r="123" spans="1:8" x14ac:dyDescent="0.3">
      <c r="A123" s="177" t="s">
        <v>187</v>
      </c>
      <c r="B123" s="178"/>
      <c r="C123" s="178"/>
      <c r="D123" s="178"/>
      <c r="E123" s="178"/>
      <c r="F123" s="178"/>
      <c r="G123" s="179"/>
      <c r="H123" s="179"/>
    </row>
    <row r="124" spans="1:8" x14ac:dyDescent="0.3">
      <c r="A124" s="180" t="s">
        <v>143</v>
      </c>
      <c r="B124" s="6">
        <v>100748</v>
      </c>
      <c r="C124" s="6">
        <v>58240</v>
      </c>
      <c r="D124" s="181"/>
      <c r="E124" s="181"/>
      <c r="F124" s="181"/>
      <c r="G124" s="182"/>
      <c r="H124" s="182"/>
    </row>
    <row r="125" spans="1:8" x14ac:dyDescent="0.3">
      <c r="A125" s="180" t="s">
        <v>145</v>
      </c>
      <c r="B125" s="6">
        <v>20000</v>
      </c>
      <c r="C125" s="6">
        <v>0</v>
      </c>
      <c r="D125" s="181"/>
      <c r="E125" s="181"/>
      <c r="F125" s="181"/>
      <c r="G125" s="182"/>
      <c r="H125" s="182"/>
    </row>
    <row r="126" spans="1:8" x14ac:dyDescent="0.3">
      <c r="A126" s="172" t="s">
        <v>188</v>
      </c>
    </row>
    <row r="127" spans="1:8" x14ac:dyDescent="0.3">
      <c r="A127" s="173" t="s">
        <v>141</v>
      </c>
      <c r="B127" s="174" t="s">
        <v>33</v>
      </c>
      <c r="C127" s="174" t="s">
        <v>8</v>
      </c>
      <c r="D127" s="175"/>
      <c r="E127" s="175"/>
      <c r="F127" s="175"/>
      <c r="G127" s="176"/>
      <c r="H127" s="176"/>
    </row>
    <row r="128" spans="1:8" x14ac:dyDescent="0.3">
      <c r="A128" s="177" t="s">
        <v>189</v>
      </c>
      <c r="B128" s="178"/>
      <c r="C128" s="178"/>
      <c r="D128" s="178"/>
      <c r="E128" s="178"/>
      <c r="F128" s="178"/>
      <c r="G128" s="179"/>
      <c r="H128" s="179"/>
    </row>
    <row r="129" spans="1:8" x14ac:dyDescent="0.3">
      <c r="A129" s="180" t="s">
        <v>143</v>
      </c>
      <c r="B129" s="6">
        <v>985555.1</v>
      </c>
      <c r="C129" s="6">
        <v>1173413.44</v>
      </c>
      <c r="D129" s="181"/>
      <c r="E129" s="181"/>
      <c r="F129" s="181"/>
      <c r="G129" s="182"/>
      <c r="H129" s="182"/>
    </row>
    <row r="130" spans="1:8" x14ac:dyDescent="0.3">
      <c r="A130" s="180" t="s">
        <v>145</v>
      </c>
      <c r="B130" s="6">
        <v>1019824</v>
      </c>
      <c r="C130" s="6">
        <v>26400</v>
      </c>
      <c r="D130" s="181"/>
      <c r="E130" s="181"/>
      <c r="F130" s="181"/>
      <c r="G130" s="182"/>
      <c r="H130" s="182"/>
    </row>
    <row r="131" spans="1:8" x14ac:dyDescent="0.3">
      <c r="A131" s="180" t="s">
        <v>161</v>
      </c>
      <c r="B131" s="6">
        <v>590310</v>
      </c>
      <c r="C131" s="6">
        <v>0</v>
      </c>
      <c r="D131" s="181"/>
      <c r="E131" s="181"/>
      <c r="F131" s="181"/>
      <c r="G131" s="182"/>
      <c r="H131" s="182"/>
    </row>
    <row r="132" spans="1:8" x14ac:dyDescent="0.3">
      <c r="A132" s="180" t="s">
        <v>147</v>
      </c>
      <c r="B132" s="6">
        <v>1500210</v>
      </c>
      <c r="C132" s="6">
        <v>0</v>
      </c>
      <c r="D132" s="181"/>
      <c r="E132" s="181"/>
      <c r="F132" s="181"/>
      <c r="G132" s="182"/>
      <c r="H132" s="182"/>
    </row>
    <row r="133" spans="1:8" x14ac:dyDescent="0.3">
      <c r="A133" s="180" t="s">
        <v>190</v>
      </c>
      <c r="B133" s="6">
        <v>1433232.4</v>
      </c>
      <c r="C133" s="6">
        <v>0</v>
      </c>
      <c r="D133" s="181"/>
      <c r="E133" s="181"/>
      <c r="F133" s="181"/>
      <c r="G133" s="182"/>
      <c r="H133" s="182"/>
    </row>
    <row r="134" spans="1:8" x14ac:dyDescent="0.3">
      <c r="A134" s="177" t="s">
        <v>191</v>
      </c>
      <c r="B134" s="178"/>
      <c r="C134" s="178"/>
      <c r="D134" s="178"/>
      <c r="E134" s="178"/>
      <c r="F134" s="178"/>
      <c r="G134" s="179"/>
      <c r="H134" s="179"/>
    </row>
    <row r="135" spans="1:8" x14ac:dyDescent="0.3">
      <c r="A135" s="180" t="s">
        <v>143</v>
      </c>
      <c r="B135" s="6">
        <v>63500</v>
      </c>
      <c r="C135" s="6">
        <v>67392</v>
      </c>
      <c r="D135" s="181"/>
      <c r="E135" s="181"/>
      <c r="F135" s="181"/>
      <c r="G135" s="182"/>
      <c r="H135" s="182"/>
    </row>
    <row r="136" spans="1:8" x14ac:dyDescent="0.3">
      <c r="A136" s="180" t="s">
        <v>145</v>
      </c>
      <c r="B136" s="6">
        <v>40000</v>
      </c>
      <c r="C136" s="6">
        <v>0</v>
      </c>
      <c r="D136" s="181"/>
      <c r="E136" s="181"/>
      <c r="F136" s="181"/>
      <c r="G136" s="182"/>
      <c r="H136" s="182"/>
    </row>
    <row r="137" spans="1:8" x14ac:dyDescent="0.3">
      <c r="A137" s="180" t="s">
        <v>146</v>
      </c>
      <c r="B137" s="6">
        <v>10000</v>
      </c>
      <c r="C137" s="6">
        <v>0</v>
      </c>
      <c r="D137" s="181"/>
      <c r="E137" s="181"/>
      <c r="F137" s="181"/>
      <c r="G137" s="182"/>
      <c r="H137" s="182"/>
    </row>
    <row r="138" spans="1:8" x14ac:dyDescent="0.3">
      <c r="A138" s="177" t="s">
        <v>192</v>
      </c>
      <c r="B138" s="178"/>
      <c r="C138" s="178"/>
      <c r="D138" s="178"/>
      <c r="E138" s="178"/>
      <c r="F138" s="178"/>
      <c r="G138" s="179"/>
      <c r="H138" s="179"/>
    </row>
    <row r="139" spans="1:8" x14ac:dyDescent="0.3">
      <c r="A139" s="180" t="s">
        <v>143</v>
      </c>
      <c r="B139" s="6">
        <v>86000</v>
      </c>
      <c r="C139" s="6">
        <v>33000</v>
      </c>
      <c r="D139" s="181"/>
      <c r="E139" s="181"/>
      <c r="F139" s="181"/>
      <c r="G139" s="182"/>
      <c r="H139" s="182"/>
    </row>
    <row r="140" spans="1:8" x14ac:dyDescent="0.3">
      <c r="A140" s="180" t="s">
        <v>145</v>
      </c>
      <c r="B140" s="6">
        <v>40000</v>
      </c>
      <c r="C140" s="6">
        <v>0</v>
      </c>
      <c r="D140" s="181"/>
      <c r="E140" s="181"/>
      <c r="F140" s="181"/>
      <c r="G140" s="182"/>
      <c r="H140" s="182"/>
    </row>
    <row r="141" spans="1:8" x14ac:dyDescent="0.3">
      <c r="A141" s="180" t="s">
        <v>146</v>
      </c>
      <c r="B141" s="6">
        <v>10000</v>
      </c>
      <c r="C141" s="6">
        <v>0</v>
      </c>
      <c r="D141" s="181"/>
      <c r="E141" s="181"/>
      <c r="F141" s="181"/>
      <c r="G141" s="182"/>
      <c r="H141" s="182"/>
    </row>
    <row r="142" spans="1:8" x14ac:dyDescent="0.3">
      <c r="A142" s="177" t="s">
        <v>193</v>
      </c>
      <c r="B142" s="178"/>
      <c r="C142" s="178"/>
      <c r="D142" s="178"/>
      <c r="E142" s="178"/>
      <c r="F142" s="178"/>
      <c r="G142" s="179"/>
      <c r="H142" s="179"/>
    </row>
    <row r="143" spans="1:8" x14ac:dyDescent="0.3">
      <c r="A143" s="180" t="s">
        <v>143</v>
      </c>
      <c r="B143" s="6">
        <v>97224</v>
      </c>
      <c r="C143" s="6">
        <v>58420</v>
      </c>
      <c r="D143" s="181"/>
      <c r="E143" s="181"/>
      <c r="F143" s="181"/>
      <c r="G143" s="182"/>
      <c r="H143" s="182"/>
    </row>
    <row r="144" spans="1:8" x14ac:dyDescent="0.3">
      <c r="A144" s="180" t="s">
        <v>145</v>
      </c>
      <c r="B144" s="6">
        <v>39723</v>
      </c>
      <c r="C144" s="6">
        <v>0</v>
      </c>
      <c r="D144" s="181"/>
      <c r="E144" s="181"/>
      <c r="F144" s="181"/>
      <c r="G144" s="182"/>
      <c r="H144" s="182"/>
    </row>
    <row r="145" spans="1:8" x14ac:dyDescent="0.3">
      <c r="A145" s="180" t="s">
        <v>146</v>
      </c>
      <c r="B145" s="6">
        <v>10000</v>
      </c>
      <c r="C145" s="6">
        <v>0</v>
      </c>
      <c r="D145" s="181"/>
      <c r="E145" s="181"/>
      <c r="F145" s="181"/>
      <c r="G145" s="182"/>
      <c r="H145" s="182"/>
    </row>
    <row r="146" spans="1:8" x14ac:dyDescent="0.3">
      <c r="A146" s="177" t="s">
        <v>194</v>
      </c>
      <c r="B146" s="178"/>
      <c r="C146" s="178"/>
      <c r="D146" s="178"/>
      <c r="E146" s="178"/>
      <c r="F146" s="178"/>
      <c r="G146" s="179"/>
      <c r="H146" s="179"/>
    </row>
    <row r="147" spans="1:8" x14ac:dyDescent="0.3">
      <c r="A147" s="180" t="s">
        <v>143</v>
      </c>
      <c r="B147" s="6">
        <v>202084</v>
      </c>
      <c r="C147" s="6">
        <v>59742</v>
      </c>
      <c r="D147" s="181"/>
      <c r="E147" s="181"/>
      <c r="F147" s="181"/>
      <c r="G147" s="182"/>
      <c r="H147" s="182"/>
    </row>
    <row r="148" spans="1:8" x14ac:dyDescent="0.3">
      <c r="A148" s="180" t="s">
        <v>145</v>
      </c>
      <c r="B148" s="6">
        <v>40000</v>
      </c>
      <c r="C148" s="6">
        <v>0</v>
      </c>
      <c r="D148" s="181"/>
      <c r="E148" s="181"/>
      <c r="F148" s="181"/>
      <c r="G148" s="182"/>
      <c r="H148" s="182"/>
    </row>
    <row r="149" spans="1:8" x14ac:dyDescent="0.3">
      <c r="A149" s="180" t="s">
        <v>146</v>
      </c>
      <c r="B149" s="6">
        <v>10000</v>
      </c>
      <c r="C149" s="6">
        <v>0</v>
      </c>
      <c r="D149" s="181"/>
      <c r="E149" s="181"/>
      <c r="F149" s="181"/>
      <c r="G149" s="182"/>
      <c r="H149" s="182"/>
    </row>
    <row r="150" spans="1:8" x14ac:dyDescent="0.3">
      <c r="A150" s="177" t="s">
        <v>195</v>
      </c>
      <c r="B150" s="178"/>
      <c r="C150" s="178"/>
      <c r="D150" s="178"/>
      <c r="E150" s="178"/>
      <c r="F150" s="178"/>
      <c r="G150" s="179"/>
      <c r="H150" s="179"/>
    </row>
    <row r="151" spans="1:8" x14ac:dyDescent="0.3">
      <c r="A151" s="180" t="s">
        <v>143</v>
      </c>
      <c r="B151" s="6">
        <v>61800</v>
      </c>
      <c r="C151" s="6">
        <v>56200</v>
      </c>
      <c r="D151" s="181"/>
      <c r="E151" s="181"/>
      <c r="F151" s="181"/>
      <c r="G151" s="182"/>
      <c r="H151" s="182"/>
    </row>
    <row r="152" spans="1:8" x14ac:dyDescent="0.3">
      <c r="A152" s="180" t="s">
        <v>145</v>
      </c>
      <c r="B152" s="6">
        <v>40000</v>
      </c>
      <c r="C152" s="6">
        <v>0</v>
      </c>
      <c r="D152" s="181"/>
      <c r="E152" s="181"/>
      <c r="F152" s="181"/>
      <c r="G152" s="182"/>
      <c r="H152" s="182"/>
    </row>
    <row r="153" spans="1:8" x14ac:dyDescent="0.3">
      <c r="A153" s="180" t="s">
        <v>146</v>
      </c>
      <c r="B153" s="6">
        <v>10000</v>
      </c>
      <c r="C153" s="6">
        <v>0</v>
      </c>
      <c r="D153" s="181"/>
      <c r="E153" s="181"/>
      <c r="F153" s="181"/>
      <c r="G153" s="182"/>
      <c r="H153" s="182"/>
    </row>
    <row r="154" spans="1:8" x14ac:dyDescent="0.3">
      <c r="A154" s="177" t="s">
        <v>196</v>
      </c>
      <c r="B154" s="178"/>
      <c r="C154" s="178"/>
      <c r="D154" s="178"/>
      <c r="E154" s="178"/>
      <c r="F154" s="178"/>
      <c r="G154" s="179"/>
      <c r="H154" s="179"/>
    </row>
    <row r="155" spans="1:8" x14ac:dyDescent="0.3">
      <c r="A155" s="180" t="s">
        <v>143</v>
      </c>
      <c r="B155" s="6">
        <v>59540</v>
      </c>
      <c r="C155" s="6">
        <v>20078</v>
      </c>
      <c r="D155" s="181"/>
      <c r="E155" s="181"/>
      <c r="F155" s="181"/>
      <c r="G155" s="182"/>
      <c r="H155" s="182"/>
    </row>
    <row r="156" spans="1:8" x14ac:dyDescent="0.3">
      <c r="A156" s="180" t="s">
        <v>145</v>
      </c>
      <c r="B156" s="6">
        <v>40000</v>
      </c>
      <c r="C156" s="6">
        <v>0</v>
      </c>
      <c r="D156" s="181"/>
      <c r="E156" s="181"/>
      <c r="F156" s="181"/>
      <c r="G156" s="182"/>
      <c r="H156" s="182"/>
    </row>
    <row r="157" spans="1:8" x14ac:dyDescent="0.3">
      <c r="A157" s="180" t="s">
        <v>146</v>
      </c>
      <c r="B157" s="6">
        <v>10000</v>
      </c>
      <c r="C157" s="6">
        <v>0</v>
      </c>
      <c r="D157" s="181"/>
      <c r="E157" s="181"/>
      <c r="F157" s="181"/>
      <c r="G157" s="182"/>
      <c r="H157" s="182"/>
    </row>
    <row r="158" spans="1:8" x14ac:dyDescent="0.3">
      <c r="A158" s="177" t="s">
        <v>197</v>
      </c>
      <c r="B158" s="178"/>
      <c r="C158" s="178"/>
      <c r="D158" s="178"/>
      <c r="E158" s="178"/>
      <c r="F158" s="178"/>
      <c r="G158" s="179"/>
      <c r="H158" s="179"/>
    </row>
    <row r="159" spans="1:8" x14ac:dyDescent="0.3">
      <c r="A159" s="180" t="s">
        <v>143</v>
      </c>
      <c r="B159" s="6">
        <v>36854</v>
      </c>
      <c r="C159" s="6">
        <v>30542</v>
      </c>
      <c r="D159" s="181"/>
      <c r="E159" s="181"/>
      <c r="F159" s="181"/>
      <c r="G159" s="182"/>
      <c r="H159" s="182"/>
    </row>
    <row r="160" spans="1:8" x14ac:dyDescent="0.3">
      <c r="A160" s="180" t="s">
        <v>145</v>
      </c>
      <c r="B160" s="6">
        <v>39940</v>
      </c>
      <c r="C160" s="6">
        <v>0</v>
      </c>
      <c r="D160" s="181"/>
      <c r="E160" s="181"/>
      <c r="F160" s="181"/>
      <c r="G160" s="182"/>
      <c r="H160" s="182"/>
    </row>
    <row r="161" spans="1:8" x14ac:dyDescent="0.3">
      <c r="A161" s="180" t="s">
        <v>146</v>
      </c>
      <c r="B161" s="6">
        <v>10000</v>
      </c>
      <c r="C161" s="6">
        <v>0</v>
      </c>
      <c r="D161" s="181"/>
      <c r="E161" s="181"/>
      <c r="F161" s="181"/>
      <c r="G161" s="182"/>
      <c r="H161" s="182"/>
    </row>
    <row r="162" spans="1:8" x14ac:dyDescent="0.3">
      <c r="A162" s="177" t="s">
        <v>198</v>
      </c>
      <c r="B162" s="178"/>
      <c r="C162" s="178"/>
      <c r="D162" s="178"/>
      <c r="E162" s="178"/>
      <c r="F162" s="178"/>
      <c r="G162" s="179"/>
      <c r="H162" s="179"/>
    </row>
    <row r="163" spans="1:8" x14ac:dyDescent="0.3">
      <c r="A163" s="180" t="s">
        <v>143</v>
      </c>
      <c r="B163" s="6">
        <v>8500</v>
      </c>
      <c r="C163" s="6">
        <v>4999</v>
      </c>
      <c r="D163" s="181"/>
      <c r="E163" s="181"/>
      <c r="F163" s="181"/>
      <c r="G163" s="182"/>
      <c r="H163" s="182"/>
    </row>
    <row r="164" spans="1:8" x14ac:dyDescent="0.3">
      <c r="A164" s="180" t="s">
        <v>145</v>
      </c>
      <c r="B164" s="6">
        <v>40000</v>
      </c>
      <c r="C164" s="6">
        <v>0</v>
      </c>
      <c r="D164" s="181"/>
      <c r="E164" s="181"/>
      <c r="F164" s="181"/>
      <c r="G164" s="182"/>
      <c r="H164" s="182"/>
    </row>
    <row r="165" spans="1:8" x14ac:dyDescent="0.3">
      <c r="A165" s="180" t="s">
        <v>146</v>
      </c>
      <c r="B165" s="6">
        <v>10000</v>
      </c>
      <c r="C165" s="6">
        <v>0</v>
      </c>
      <c r="D165" s="181"/>
      <c r="E165" s="181"/>
      <c r="F165" s="181"/>
      <c r="G165" s="182"/>
      <c r="H165" s="182"/>
    </row>
    <row r="166" spans="1:8" x14ac:dyDescent="0.3">
      <c r="A166" s="177" t="s">
        <v>199</v>
      </c>
      <c r="B166" s="178"/>
      <c r="C166" s="178"/>
      <c r="D166" s="178"/>
      <c r="E166" s="178"/>
      <c r="F166" s="178"/>
      <c r="G166" s="179"/>
      <c r="H166" s="179"/>
    </row>
    <row r="167" spans="1:8" x14ac:dyDescent="0.3">
      <c r="A167" s="180" t="s">
        <v>143</v>
      </c>
      <c r="B167" s="6">
        <v>6650</v>
      </c>
      <c r="C167" s="6">
        <v>37996</v>
      </c>
      <c r="D167" s="181"/>
      <c r="E167" s="181"/>
      <c r="F167" s="181"/>
      <c r="G167" s="182"/>
      <c r="H167" s="182"/>
    </row>
    <row r="168" spans="1:8" x14ac:dyDescent="0.3">
      <c r="A168" s="180" t="s">
        <v>145</v>
      </c>
      <c r="B168" s="6">
        <v>40000</v>
      </c>
      <c r="C168" s="6">
        <v>0</v>
      </c>
      <c r="D168" s="181"/>
      <c r="E168" s="181"/>
      <c r="F168" s="181"/>
      <c r="G168" s="182"/>
      <c r="H168" s="182"/>
    </row>
    <row r="169" spans="1:8" x14ac:dyDescent="0.3">
      <c r="A169" s="180" t="s">
        <v>146</v>
      </c>
      <c r="B169" s="6">
        <v>10000</v>
      </c>
      <c r="C169" s="6">
        <v>0</v>
      </c>
      <c r="D169" s="181"/>
      <c r="E169" s="181"/>
      <c r="F169" s="181"/>
      <c r="G169" s="182"/>
      <c r="H169" s="182"/>
    </row>
    <row r="170" spans="1:8" x14ac:dyDescent="0.3">
      <c r="A170" s="177" t="s">
        <v>200</v>
      </c>
      <c r="B170" s="178"/>
      <c r="C170" s="178"/>
      <c r="D170" s="178"/>
      <c r="E170" s="178"/>
      <c r="F170" s="178"/>
      <c r="G170" s="179"/>
      <c r="H170" s="179"/>
    </row>
    <row r="171" spans="1:8" x14ac:dyDescent="0.3">
      <c r="A171" s="180" t="s">
        <v>143</v>
      </c>
      <c r="B171" s="6">
        <v>38100</v>
      </c>
      <c r="C171" s="6">
        <v>419721</v>
      </c>
      <c r="D171" s="181"/>
      <c r="E171" s="181"/>
      <c r="F171" s="181"/>
      <c r="G171" s="182"/>
      <c r="H171" s="182"/>
    </row>
    <row r="172" spans="1:8" x14ac:dyDescent="0.3">
      <c r="A172" s="180" t="s">
        <v>146</v>
      </c>
      <c r="B172" s="6">
        <v>66900</v>
      </c>
      <c r="C172" s="6">
        <v>0</v>
      </c>
      <c r="D172" s="181"/>
      <c r="E172" s="181"/>
      <c r="F172" s="181"/>
      <c r="G172" s="182"/>
      <c r="H172" s="182"/>
    </row>
    <row r="173" spans="1:8" x14ac:dyDescent="0.3">
      <c r="A173" s="177" t="s">
        <v>201</v>
      </c>
      <c r="B173" s="178"/>
      <c r="C173" s="178"/>
      <c r="D173" s="178"/>
      <c r="E173" s="178"/>
      <c r="F173" s="178"/>
      <c r="G173" s="179"/>
      <c r="H173" s="179"/>
    </row>
    <row r="174" spans="1:8" x14ac:dyDescent="0.3">
      <c r="A174" s="180" t="s">
        <v>143</v>
      </c>
      <c r="B174" s="6">
        <v>13500</v>
      </c>
      <c r="C174" s="6">
        <v>20000</v>
      </c>
      <c r="D174" s="181"/>
      <c r="E174" s="181"/>
      <c r="F174" s="181"/>
      <c r="G174" s="182"/>
      <c r="H174" s="182"/>
    </row>
    <row r="175" spans="1:8" x14ac:dyDescent="0.3">
      <c r="A175" s="180" t="s">
        <v>145</v>
      </c>
      <c r="B175" s="6">
        <v>40000</v>
      </c>
      <c r="C175" s="6">
        <v>0</v>
      </c>
      <c r="D175" s="181"/>
      <c r="E175" s="181"/>
      <c r="F175" s="181"/>
      <c r="G175" s="182"/>
      <c r="H175" s="182"/>
    </row>
    <row r="176" spans="1:8" x14ac:dyDescent="0.3">
      <c r="A176" s="180" t="s">
        <v>146</v>
      </c>
      <c r="B176" s="6">
        <v>10000</v>
      </c>
      <c r="C176" s="6">
        <v>0</v>
      </c>
      <c r="D176" s="181"/>
      <c r="E176" s="181"/>
      <c r="F176" s="181"/>
      <c r="G176" s="182"/>
      <c r="H176" s="182"/>
    </row>
    <row r="177" spans="1:8" x14ac:dyDescent="0.3">
      <c r="A177" s="172" t="s">
        <v>202</v>
      </c>
    </row>
    <row r="178" spans="1:8" x14ac:dyDescent="0.3">
      <c r="A178" s="173" t="s">
        <v>141</v>
      </c>
      <c r="B178" s="174" t="s">
        <v>33</v>
      </c>
      <c r="C178" s="174" t="s">
        <v>8</v>
      </c>
      <c r="D178" s="175"/>
      <c r="E178" s="175"/>
      <c r="F178" s="175"/>
      <c r="G178" s="176"/>
      <c r="H178" s="176"/>
    </row>
    <row r="179" spans="1:8" x14ac:dyDescent="0.3">
      <c r="A179" s="177" t="s">
        <v>203</v>
      </c>
      <c r="B179" s="178"/>
      <c r="C179" s="178"/>
      <c r="D179" s="178"/>
      <c r="E179" s="178"/>
      <c r="F179" s="178"/>
      <c r="G179" s="179"/>
      <c r="H179" s="179"/>
    </row>
    <row r="180" spans="1:8" x14ac:dyDescent="0.3">
      <c r="A180" s="180" t="s">
        <v>144</v>
      </c>
      <c r="B180" s="6">
        <v>338155.25</v>
      </c>
      <c r="C180" s="6">
        <v>506320.93</v>
      </c>
      <c r="D180" s="181"/>
      <c r="E180" s="181"/>
      <c r="F180" s="181"/>
      <c r="G180" s="182"/>
      <c r="H180" s="182"/>
    </row>
    <row r="181" spans="1:8" x14ac:dyDescent="0.3">
      <c r="A181" s="180" t="s">
        <v>145</v>
      </c>
      <c r="B181" s="6">
        <v>202384.2</v>
      </c>
      <c r="C181" s="6">
        <v>5000</v>
      </c>
      <c r="D181" s="181"/>
      <c r="E181" s="181"/>
      <c r="F181" s="181"/>
      <c r="G181" s="182"/>
      <c r="H181" s="182"/>
    </row>
    <row r="182" spans="1:8" x14ac:dyDescent="0.3">
      <c r="A182" s="180" t="s">
        <v>146</v>
      </c>
      <c r="B182" s="6">
        <v>51080</v>
      </c>
      <c r="C182" s="6">
        <v>4600</v>
      </c>
      <c r="D182" s="181"/>
      <c r="E182" s="181"/>
      <c r="F182" s="181"/>
      <c r="G182" s="182"/>
      <c r="H182" s="182"/>
    </row>
    <row r="183" spans="1:8" x14ac:dyDescent="0.3">
      <c r="A183" s="180" t="s">
        <v>147</v>
      </c>
      <c r="B183" s="6">
        <v>0</v>
      </c>
      <c r="C183" s="6">
        <v>180229</v>
      </c>
      <c r="D183" s="181"/>
      <c r="E183" s="181"/>
      <c r="F183" s="181"/>
      <c r="G183" s="182"/>
      <c r="H183" s="182"/>
    </row>
    <row r="184" spans="1:8" x14ac:dyDescent="0.3">
      <c r="A184" s="177" t="s">
        <v>204</v>
      </c>
      <c r="B184" s="178"/>
      <c r="C184" s="178"/>
      <c r="D184" s="178"/>
      <c r="E184" s="178"/>
      <c r="F184" s="178"/>
      <c r="G184" s="179"/>
      <c r="H184" s="179"/>
    </row>
    <row r="185" spans="1:8" x14ac:dyDescent="0.3">
      <c r="A185" s="180" t="s">
        <v>144</v>
      </c>
      <c r="B185" s="6">
        <v>90128</v>
      </c>
      <c r="C185" s="6">
        <v>59100</v>
      </c>
      <c r="D185" s="181"/>
      <c r="E185" s="181"/>
      <c r="F185" s="181"/>
      <c r="G185" s="182"/>
      <c r="H185" s="182"/>
    </row>
    <row r="186" spans="1:8" x14ac:dyDescent="0.3">
      <c r="A186" s="180" t="s">
        <v>145</v>
      </c>
      <c r="B186" s="6">
        <v>62081.4</v>
      </c>
      <c r="C186" s="6">
        <v>0</v>
      </c>
      <c r="D186" s="181"/>
      <c r="E186" s="181"/>
      <c r="F186" s="181"/>
      <c r="G186" s="182"/>
      <c r="H186" s="182"/>
    </row>
    <row r="187" spans="1:8" x14ac:dyDescent="0.3">
      <c r="A187" s="180" t="s">
        <v>147</v>
      </c>
      <c r="B187" s="6">
        <v>677340</v>
      </c>
      <c r="C187" s="6">
        <v>0</v>
      </c>
      <c r="D187" s="181"/>
      <c r="E187" s="181"/>
      <c r="F187" s="181"/>
      <c r="G187" s="182"/>
      <c r="H187" s="182"/>
    </row>
    <row r="188" spans="1:8" x14ac:dyDescent="0.3">
      <c r="A188" s="177" t="s">
        <v>205</v>
      </c>
      <c r="B188" s="178"/>
      <c r="C188" s="178"/>
      <c r="D188" s="178"/>
      <c r="E188" s="178"/>
      <c r="F188" s="178"/>
      <c r="G188" s="179"/>
      <c r="H188" s="179"/>
    </row>
    <row r="189" spans="1:8" x14ac:dyDescent="0.3">
      <c r="A189" s="180" t="s">
        <v>144</v>
      </c>
      <c r="B189" s="6">
        <v>119810</v>
      </c>
      <c r="C189" s="6">
        <v>130954</v>
      </c>
      <c r="D189" s="181"/>
      <c r="E189" s="181"/>
      <c r="F189" s="181"/>
      <c r="G189" s="182"/>
      <c r="H189" s="182"/>
    </row>
    <row r="190" spans="1:8" x14ac:dyDescent="0.3">
      <c r="A190" s="180" t="s">
        <v>145</v>
      </c>
      <c r="B190" s="6">
        <v>64444.639999999999</v>
      </c>
      <c r="C190" s="6">
        <v>4000</v>
      </c>
      <c r="D190" s="181"/>
      <c r="E190" s="181"/>
      <c r="F190" s="181"/>
      <c r="G190" s="182"/>
      <c r="H190" s="182"/>
    </row>
    <row r="191" spans="1:8" x14ac:dyDescent="0.3">
      <c r="A191" s="180" t="s">
        <v>162</v>
      </c>
      <c r="B191" s="6">
        <v>194400</v>
      </c>
      <c r="C191" s="6">
        <v>0</v>
      </c>
      <c r="D191" s="181"/>
      <c r="E191" s="181"/>
      <c r="F191" s="181"/>
      <c r="G191" s="182"/>
      <c r="H191" s="182"/>
    </row>
    <row r="192" spans="1:8" x14ac:dyDescent="0.3">
      <c r="A192" s="177" t="s">
        <v>206</v>
      </c>
      <c r="B192" s="178"/>
      <c r="C192" s="178"/>
      <c r="D192" s="178"/>
      <c r="E192" s="178"/>
      <c r="F192" s="178"/>
      <c r="G192" s="179"/>
      <c r="H192" s="179"/>
    </row>
    <row r="193" spans="1:8" x14ac:dyDescent="0.3">
      <c r="A193" s="180" t="s">
        <v>144</v>
      </c>
      <c r="B193" s="6">
        <v>78760</v>
      </c>
      <c r="C193" s="6">
        <v>98332</v>
      </c>
      <c r="D193" s="181"/>
      <c r="E193" s="181"/>
      <c r="F193" s="181"/>
      <c r="G193" s="182"/>
      <c r="H193" s="182"/>
    </row>
    <row r="194" spans="1:8" x14ac:dyDescent="0.3">
      <c r="A194" s="180" t="s">
        <v>145</v>
      </c>
      <c r="B194" s="6">
        <v>44997</v>
      </c>
      <c r="C194" s="6">
        <v>4999.96</v>
      </c>
      <c r="D194" s="181"/>
      <c r="E194" s="181"/>
      <c r="F194" s="181"/>
      <c r="G194" s="182"/>
      <c r="H194" s="182"/>
    </row>
    <row r="195" spans="1:8" x14ac:dyDescent="0.3">
      <c r="A195" s="177" t="s">
        <v>207</v>
      </c>
      <c r="B195" s="178"/>
      <c r="C195" s="178"/>
      <c r="D195" s="178"/>
      <c r="E195" s="178"/>
      <c r="F195" s="178"/>
      <c r="G195" s="179"/>
      <c r="H195" s="179"/>
    </row>
    <row r="196" spans="1:8" x14ac:dyDescent="0.3">
      <c r="A196" s="180" t="s">
        <v>144</v>
      </c>
      <c r="B196" s="6">
        <v>76875</v>
      </c>
      <c r="C196" s="6">
        <v>106636</v>
      </c>
      <c r="D196" s="181"/>
      <c r="E196" s="181"/>
      <c r="F196" s="181"/>
      <c r="G196" s="182"/>
      <c r="H196" s="182"/>
    </row>
    <row r="197" spans="1:8" x14ac:dyDescent="0.3">
      <c r="A197" s="180" t="s">
        <v>145</v>
      </c>
      <c r="B197" s="6">
        <v>40000</v>
      </c>
      <c r="C197" s="6">
        <v>0</v>
      </c>
      <c r="D197" s="181"/>
      <c r="E197" s="181"/>
      <c r="F197" s="181"/>
      <c r="G197" s="182"/>
      <c r="H197" s="182"/>
    </row>
    <row r="198" spans="1:8" x14ac:dyDescent="0.3">
      <c r="A198" s="180" t="s">
        <v>147</v>
      </c>
      <c r="B198" s="6">
        <v>84780</v>
      </c>
      <c r="C198" s="6">
        <v>0</v>
      </c>
      <c r="D198" s="181"/>
      <c r="E198" s="181"/>
      <c r="F198" s="181"/>
      <c r="G198" s="182"/>
      <c r="H198" s="182"/>
    </row>
    <row r="199" spans="1:8" x14ac:dyDescent="0.3">
      <c r="A199" s="177" t="s">
        <v>208</v>
      </c>
      <c r="B199" s="178"/>
      <c r="C199" s="178"/>
      <c r="D199" s="178"/>
      <c r="E199" s="178"/>
      <c r="F199" s="178"/>
      <c r="G199" s="179"/>
      <c r="H199" s="179"/>
    </row>
    <row r="200" spans="1:8" x14ac:dyDescent="0.3">
      <c r="A200" s="180" t="s">
        <v>144</v>
      </c>
      <c r="B200" s="6">
        <v>66900</v>
      </c>
      <c r="C200" s="6">
        <v>68530</v>
      </c>
      <c r="D200" s="181"/>
      <c r="E200" s="181"/>
      <c r="F200" s="181"/>
      <c r="G200" s="182"/>
      <c r="H200" s="182"/>
    </row>
    <row r="201" spans="1:8" x14ac:dyDescent="0.3">
      <c r="A201" s="180" t="s">
        <v>145</v>
      </c>
      <c r="B201" s="6">
        <v>49984.2</v>
      </c>
      <c r="C201" s="6">
        <v>0</v>
      </c>
      <c r="D201" s="181"/>
      <c r="E201" s="181"/>
      <c r="F201" s="181"/>
      <c r="G201" s="182"/>
      <c r="H201" s="182"/>
    </row>
    <row r="202" spans="1:8" x14ac:dyDescent="0.3">
      <c r="A202" s="177" t="s">
        <v>209</v>
      </c>
      <c r="B202" s="178"/>
      <c r="C202" s="178"/>
      <c r="D202" s="178"/>
      <c r="E202" s="178"/>
      <c r="F202" s="178"/>
      <c r="G202" s="179"/>
      <c r="H202" s="179"/>
    </row>
    <row r="203" spans="1:8" x14ac:dyDescent="0.3">
      <c r="A203" s="180" t="s">
        <v>144</v>
      </c>
      <c r="B203" s="6">
        <v>54858</v>
      </c>
      <c r="C203" s="6">
        <v>97958</v>
      </c>
      <c r="D203" s="181"/>
      <c r="E203" s="181"/>
      <c r="F203" s="181"/>
      <c r="G203" s="182"/>
      <c r="H203" s="182"/>
    </row>
    <row r="204" spans="1:8" x14ac:dyDescent="0.3">
      <c r="A204" s="180" t="s">
        <v>145</v>
      </c>
      <c r="B204" s="6">
        <v>56355</v>
      </c>
      <c r="C204" s="6">
        <v>0</v>
      </c>
      <c r="D204" s="181"/>
      <c r="E204" s="181"/>
      <c r="F204" s="181"/>
      <c r="G204" s="182"/>
      <c r="H204" s="182"/>
    </row>
    <row r="205" spans="1:8" x14ac:dyDescent="0.3">
      <c r="A205" s="177" t="s">
        <v>210</v>
      </c>
      <c r="B205" s="178"/>
      <c r="C205" s="178"/>
      <c r="D205" s="178"/>
      <c r="E205" s="178"/>
      <c r="F205" s="178"/>
      <c r="G205" s="179"/>
      <c r="H205" s="179"/>
    </row>
    <row r="206" spans="1:8" x14ac:dyDescent="0.3">
      <c r="A206" s="180" t="s">
        <v>144</v>
      </c>
      <c r="B206" s="6">
        <v>18999.2</v>
      </c>
      <c r="C206" s="6">
        <v>38000</v>
      </c>
      <c r="D206" s="181"/>
      <c r="E206" s="181"/>
      <c r="F206" s="181"/>
      <c r="G206" s="182"/>
      <c r="H206" s="182"/>
    </row>
    <row r="207" spans="1:8" x14ac:dyDescent="0.3">
      <c r="A207" s="180" t="s">
        <v>145</v>
      </c>
      <c r="B207" s="6">
        <v>39701</v>
      </c>
      <c r="C207" s="6">
        <v>0</v>
      </c>
      <c r="D207" s="181"/>
      <c r="E207" s="181"/>
      <c r="F207" s="181"/>
      <c r="G207" s="182"/>
      <c r="H207" s="182"/>
    </row>
    <row r="208" spans="1:8" x14ac:dyDescent="0.3">
      <c r="A208" s="180" t="s">
        <v>161</v>
      </c>
      <c r="B208" s="6">
        <v>184905</v>
      </c>
      <c r="C208" s="6">
        <v>0</v>
      </c>
      <c r="D208" s="181"/>
      <c r="E208" s="181"/>
      <c r="F208" s="181"/>
      <c r="G208" s="182"/>
      <c r="H208" s="182"/>
    </row>
    <row r="209" spans="1:8" x14ac:dyDescent="0.3">
      <c r="A209" s="177" t="s">
        <v>211</v>
      </c>
      <c r="B209" s="178"/>
      <c r="C209" s="178"/>
      <c r="D209" s="178"/>
      <c r="E209" s="178"/>
      <c r="F209" s="178"/>
      <c r="G209" s="179"/>
      <c r="H209" s="179"/>
    </row>
    <row r="210" spans="1:8" x14ac:dyDescent="0.3">
      <c r="A210" s="180" t="s">
        <v>144</v>
      </c>
      <c r="B210" s="6">
        <v>32930</v>
      </c>
      <c r="C210" s="6">
        <v>53464.53</v>
      </c>
      <c r="D210" s="181"/>
      <c r="E210" s="181"/>
      <c r="F210" s="181"/>
      <c r="G210" s="182"/>
      <c r="H210" s="182"/>
    </row>
    <row r="211" spans="1:8" x14ac:dyDescent="0.3">
      <c r="A211" s="180" t="s">
        <v>145</v>
      </c>
      <c r="B211" s="6">
        <v>49730</v>
      </c>
      <c r="C211" s="6">
        <v>0</v>
      </c>
      <c r="D211" s="181"/>
      <c r="E211" s="181"/>
      <c r="F211" s="181"/>
      <c r="G211" s="182"/>
      <c r="H211" s="182"/>
    </row>
    <row r="212" spans="1:8" x14ac:dyDescent="0.3">
      <c r="A212" s="180" t="s">
        <v>147</v>
      </c>
      <c r="B212" s="6">
        <v>376800</v>
      </c>
      <c r="C212" s="6">
        <v>0</v>
      </c>
      <c r="D212" s="181"/>
      <c r="E212" s="181"/>
      <c r="F212" s="181"/>
      <c r="G212" s="182"/>
      <c r="H212" s="182"/>
    </row>
    <row r="213" spans="1:8" x14ac:dyDescent="0.3">
      <c r="A213" s="177" t="s">
        <v>212</v>
      </c>
      <c r="B213" s="178"/>
      <c r="C213" s="178"/>
      <c r="D213" s="178"/>
      <c r="E213" s="178"/>
      <c r="F213" s="178"/>
      <c r="G213" s="179"/>
      <c r="H213" s="179"/>
    </row>
    <row r="214" spans="1:8" x14ac:dyDescent="0.3">
      <c r="A214" s="180" t="s">
        <v>144</v>
      </c>
      <c r="B214" s="6">
        <v>41880</v>
      </c>
      <c r="C214" s="6">
        <v>68916.479999999996</v>
      </c>
      <c r="D214" s="181"/>
      <c r="E214" s="181"/>
      <c r="F214" s="181"/>
      <c r="G214" s="182"/>
      <c r="H214" s="182"/>
    </row>
    <row r="215" spans="1:8" x14ac:dyDescent="0.3">
      <c r="A215" s="180" t="s">
        <v>145</v>
      </c>
      <c r="B215" s="6">
        <v>70050</v>
      </c>
      <c r="C215" s="6">
        <v>46570</v>
      </c>
      <c r="D215" s="181"/>
      <c r="E215" s="181"/>
      <c r="F215" s="181"/>
      <c r="G215" s="182"/>
      <c r="H215" s="182"/>
    </row>
    <row r="216" spans="1:8" x14ac:dyDescent="0.3">
      <c r="A216" s="180" t="s">
        <v>161</v>
      </c>
      <c r="B216" s="6">
        <v>231120</v>
      </c>
      <c r="C216" s="6">
        <v>0</v>
      </c>
      <c r="D216" s="181"/>
      <c r="E216" s="181"/>
      <c r="F216" s="181"/>
      <c r="G216" s="182"/>
      <c r="H216" s="182"/>
    </row>
    <row r="217" spans="1:8" x14ac:dyDescent="0.3">
      <c r="A217" s="180" t="s">
        <v>147</v>
      </c>
      <c r="B217" s="6">
        <v>254340</v>
      </c>
      <c r="C217" s="6">
        <v>0</v>
      </c>
      <c r="D217" s="181"/>
      <c r="E217" s="181"/>
      <c r="F217" s="181"/>
      <c r="G217" s="182"/>
      <c r="H217" s="182"/>
    </row>
    <row r="218" spans="1:8" x14ac:dyDescent="0.3">
      <c r="A218" s="177" t="s">
        <v>213</v>
      </c>
      <c r="B218" s="178"/>
      <c r="C218" s="178"/>
      <c r="D218" s="178"/>
      <c r="E218" s="178"/>
      <c r="F218" s="178"/>
      <c r="G218" s="179"/>
      <c r="H218" s="179"/>
    </row>
    <row r="219" spans="1:8" x14ac:dyDescent="0.3">
      <c r="A219" s="180" t="s">
        <v>144</v>
      </c>
      <c r="B219" s="6">
        <v>26350</v>
      </c>
      <c r="C219" s="6">
        <v>124731</v>
      </c>
      <c r="D219" s="181"/>
      <c r="E219" s="181"/>
      <c r="F219" s="181"/>
      <c r="G219" s="182"/>
      <c r="H219" s="182"/>
    </row>
    <row r="220" spans="1:8" x14ac:dyDescent="0.3">
      <c r="A220" s="180" t="s">
        <v>145</v>
      </c>
      <c r="B220" s="6">
        <v>45992</v>
      </c>
      <c r="C220" s="6">
        <v>0</v>
      </c>
      <c r="D220" s="181"/>
      <c r="E220" s="181"/>
      <c r="F220" s="181"/>
      <c r="G220" s="182"/>
      <c r="H220" s="182"/>
    </row>
    <row r="221" spans="1:8" x14ac:dyDescent="0.3">
      <c r="A221" s="172" t="s">
        <v>214</v>
      </c>
    </row>
    <row r="222" spans="1:8" x14ac:dyDescent="0.3">
      <c r="A222" s="173" t="s">
        <v>141</v>
      </c>
      <c r="B222" s="174" t="s">
        <v>33</v>
      </c>
      <c r="C222" s="174" t="s">
        <v>8</v>
      </c>
      <c r="D222" s="175"/>
      <c r="E222" s="175"/>
      <c r="F222" s="175"/>
      <c r="G222" s="176"/>
      <c r="H222" s="176"/>
    </row>
    <row r="223" spans="1:8" x14ac:dyDescent="0.3">
      <c r="A223" s="177" t="s">
        <v>215</v>
      </c>
      <c r="B223" s="178"/>
      <c r="C223" s="178"/>
      <c r="D223" s="178"/>
      <c r="E223" s="178"/>
      <c r="F223" s="178"/>
      <c r="G223" s="179"/>
      <c r="H223" s="179"/>
    </row>
    <row r="224" spans="1:8" x14ac:dyDescent="0.3">
      <c r="A224" s="180" t="s">
        <v>143</v>
      </c>
      <c r="B224" s="6">
        <v>0</v>
      </c>
      <c r="C224" s="6">
        <v>36785</v>
      </c>
      <c r="D224" s="181"/>
      <c r="E224" s="181"/>
      <c r="F224" s="181"/>
      <c r="G224" s="182"/>
      <c r="H224" s="182"/>
    </row>
    <row r="225" spans="1:8" x14ac:dyDescent="0.3">
      <c r="A225" s="180" t="s">
        <v>144</v>
      </c>
      <c r="B225" s="6">
        <v>129343</v>
      </c>
      <c r="C225" s="6">
        <v>319315.44</v>
      </c>
      <c r="D225" s="181"/>
      <c r="E225" s="181"/>
      <c r="F225" s="181"/>
      <c r="G225" s="182"/>
      <c r="H225" s="182"/>
    </row>
    <row r="226" spans="1:8" x14ac:dyDescent="0.3">
      <c r="A226" s="180" t="s">
        <v>145</v>
      </c>
      <c r="B226" s="6">
        <v>620276.49</v>
      </c>
      <c r="C226" s="6">
        <v>0</v>
      </c>
      <c r="D226" s="181"/>
      <c r="E226" s="181"/>
      <c r="F226" s="181"/>
      <c r="G226" s="182"/>
      <c r="H226" s="182"/>
    </row>
    <row r="227" spans="1:8" x14ac:dyDescent="0.3">
      <c r="A227" s="180" t="s">
        <v>146</v>
      </c>
      <c r="B227" s="6">
        <v>12700</v>
      </c>
      <c r="C227" s="6">
        <v>0</v>
      </c>
      <c r="D227" s="181"/>
      <c r="E227" s="181"/>
      <c r="F227" s="181"/>
      <c r="G227" s="182"/>
      <c r="H227" s="182"/>
    </row>
    <row r="228" spans="1:8" x14ac:dyDescent="0.3">
      <c r="A228" s="177" t="s">
        <v>216</v>
      </c>
      <c r="B228" s="178"/>
      <c r="C228" s="178"/>
      <c r="D228" s="178"/>
      <c r="E228" s="178"/>
      <c r="F228" s="178"/>
      <c r="G228" s="179"/>
      <c r="H228" s="179"/>
    </row>
    <row r="229" spans="1:8" x14ac:dyDescent="0.3">
      <c r="A229" s="180" t="s">
        <v>144</v>
      </c>
      <c r="B229" s="6">
        <v>26190</v>
      </c>
      <c r="C229" s="6">
        <v>27089</v>
      </c>
      <c r="D229" s="181"/>
      <c r="E229" s="181"/>
      <c r="F229" s="181"/>
      <c r="G229" s="182"/>
      <c r="H229" s="182"/>
    </row>
    <row r="230" spans="1:8" x14ac:dyDescent="0.3">
      <c r="A230" s="177" t="s">
        <v>330</v>
      </c>
      <c r="B230" s="178"/>
      <c r="C230" s="178"/>
      <c r="D230" s="178"/>
      <c r="E230" s="178"/>
      <c r="F230" s="178"/>
      <c r="G230" s="179"/>
      <c r="H230" s="179"/>
    </row>
    <row r="231" spans="1:8" x14ac:dyDescent="0.3">
      <c r="A231" s="180" t="s">
        <v>144</v>
      </c>
      <c r="B231" s="6">
        <v>23904.400000000001</v>
      </c>
      <c r="C231" s="6">
        <v>36938</v>
      </c>
      <c r="D231" s="181"/>
      <c r="E231" s="181"/>
      <c r="F231" s="181"/>
      <c r="G231" s="182"/>
      <c r="H231" s="182"/>
    </row>
    <row r="232" spans="1:8" x14ac:dyDescent="0.3">
      <c r="A232" s="177" t="s">
        <v>217</v>
      </c>
      <c r="B232" s="178"/>
      <c r="C232" s="178"/>
      <c r="D232" s="178"/>
      <c r="E232" s="178"/>
      <c r="F232" s="178"/>
      <c r="G232" s="179"/>
      <c r="H232" s="179"/>
    </row>
    <row r="233" spans="1:8" x14ac:dyDescent="0.3">
      <c r="A233" s="180" t="s">
        <v>145</v>
      </c>
      <c r="B233" s="6">
        <v>149993.25</v>
      </c>
      <c r="C233" s="6">
        <v>0</v>
      </c>
      <c r="D233" s="181"/>
      <c r="E233" s="181"/>
      <c r="F233" s="181"/>
      <c r="G233" s="182"/>
      <c r="H233" s="182"/>
    </row>
    <row r="234" spans="1:8" x14ac:dyDescent="0.3">
      <c r="A234" s="172" t="s">
        <v>218</v>
      </c>
    </row>
    <row r="235" spans="1:8" x14ac:dyDescent="0.3">
      <c r="A235" s="173" t="s">
        <v>141</v>
      </c>
      <c r="B235" s="174" t="s">
        <v>33</v>
      </c>
      <c r="C235" s="174" t="s">
        <v>8</v>
      </c>
      <c r="D235" s="175"/>
      <c r="E235" s="175"/>
      <c r="F235" s="175"/>
      <c r="G235" s="176"/>
      <c r="H235" s="176"/>
    </row>
    <row r="236" spans="1:8" x14ac:dyDescent="0.3">
      <c r="A236" s="177" t="s">
        <v>219</v>
      </c>
      <c r="B236" s="178"/>
      <c r="C236" s="178"/>
      <c r="D236" s="178"/>
      <c r="E236" s="178"/>
      <c r="F236" s="178"/>
      <c r="G236" s="179"/>
      <c r="H236" s="179"/>
    </row>
    <row r="237" spans="1:8" x14ac:dyDescent="0.3">
      <c r="A237" s="180" t="s">
        <v>144</v>
      </c>
      <c r="B237" s="6">
        <v>414766</v>
      </c>
      <c r="C237" s="6">
        <v>138507.43</v>
      </c>
      <c r="D237" s="181"/>
      <c r="E237" s="181"/>
      <c r="F237" s="181"/>
      <c r="G237" s="182"/>
      <c r="H237" s="182"/>
    </row>
    <row r="238" spans="1:8" x14ac:dyDescent="0.3">
      <c r="A238" s="180" t="s">
        <v>145</v>
      </c>
      <c r="B238" s="6">
        <v>50000</v>
      </c>
      <c r="C238" s="6">
        <v>0</v>
      </c>
      <c r="D238" s="181"/>
      <c r="E238" s="181"/>
      <c r="F238" s="181"/>
      <c r="G238" s="182"/>
      <c r="H238" s="182"/>
    </row>
    <row r="239" spans="1:8" x14ac:dyDescent="0.3">
      <c r="A239" s="177" t="s">
        <v>220</v>
      </c>
      <c r="B239" s="178"/>
      <c r="C239" s="178"/>
      <c r="D239" s="178"/>
      <c r="E239" s="178"/>
      <c r="F239" s="178"/>
      <c r="G239" s="179"/>
      <c r="H239" s="179"/>
    </row>
    <row r="240" spans="1:8" x14ac:dyDescent="0.3">
      <c r="A240" s="180" t="s">
        <v>144</v>
      </c>
      <c r="B240" s="6">
        <v>3092879.18</v>
      </c>
      <c r="C240" s="6">
        <v>805721</v>
      </c>
      <c r="D240" s="181"/>
      <c r="E240" s="181"/>
      <c r="F240" s="181"/>
      <c r="G240" s="182"/>
      <c r="H240" s="182"/>
    </row>
    <row r="241" spans="1:16" x14ac:dyDescent="0.3">
      <c r="A241" s="180" t="s">
        <v>145</v>
      </c>
      <c r="B241" s="6">
        <v>160000</v>
      </c>
      <c r="C241" s="6">
        <v>0</v>
      </c>
      <c r="D241" s="181"/>
      <c r="E241" s="181"/>
      <c r="F241" s="181"/>
      <c r="G241" s="182"/>
      <c r="H241" s="182"/>
    </row>
    <row r="242" spans="1:16" x14ac:dyDescent="0.3">
      <c r="A242" s="180" t="s">
        <v>221</v>
      </c>
      <c r="B242" s="6">
        <v>1278460</v>
      </c>
      <c r="C242" s="6">
        <v>0</v>
      </c>
      <c r="D242" s="181"/>
      <c r="E242" s="181"/>
      <c r="F242" s="181"/>
      <c r="G242" s="182"/>
      <c r="H242" s="182"/>
    </row>
    <row r="243" spans="1:16" x14ac:dyDescent="0.3">
      <c r="A243" s="177" t="s">
        <v>222</v>
      </c>
      <c r="B243" s="178"/>
      <c r="C243" s="178"/>
      <c r="D243" s="178"/>
      <c r="E243" s="178"/>
      <c r="F243" s="178"/>
      <c r="G243" s="179"/>
      <c r="H243" s="179"/>
      <c r="N243" s="14">
        <f>SUM(B402:C402)</f>
        <v>408624823.88999999</v>
      </c>
      <c r="O243" s="14">
        <f>Sheet3!B7</f>
        <v>441492380</v>
      </c>
      <c r="P243" s="14">
        <f>SUM(N243-O243)</f>
        <v>-32867556.110000014</v>
      </c>
    </row>
    <row r="244" spans="1:16" x14ac:dyDescent="0.3">
      <c r="A244" s="180" t="s">
        <v>143</v>
      </c>
      <c r="B244" s="6">
        <v>600</v>
      </c>
      <c r="C244" s="6">
        <v>0</v>
      </c>
      <c r="D244" s="181"/>
      <c r="E244" s="181"/>
      <c r="F244" s="181"/>
      <c r="G244" s="182"/>
      <c r="H244" s="182"/>
    </row>
    <row r="245" spans="1:16" x14ac:dyDescent="0.3">
      <c r="A245" s="180" t="s">
        <v>144</v>
      </c>
      <c r="B245" s="6">
        <v>1249798.3999999999</v>
      </c>
      <c r="C245" s="6">
        <v>299945.3</v>
      </c>
      <c r="D245" s="181"/>
      <c r="E245" s="181"/>
      <c r="F245" s="181"/>
      <c r="G245" s="182"/>
      <c r="H245" s="182"/>
    </row>
    <row r="246" spans="1:16" x14ac:dyDescent="0.3">
      <c r="A246" s="180" t="s">
        <v>145</v>
      </c>
      <c r="B246" s="6">
        <v>90000</v>
      </c>
      <c r="C246" s="6">
        <v>1200</v>
      </c>
      <c r="D246" s="181"/>
      <c r="E246" s="181"/>
      <c r="F246" s="181"/>
      <c r="G246" s="182"/>
      <c r="H246" s="182"/>
    </row>
    <row r="247" spans="1:16" x14ac:dyDescent="0.3">
      <c r="A247" s="172" t="s">
        <v>223</v>
      </c>
    </row>
    <row r="248" spans="1:16" x14ac:dyDescent="0.3">
      <c r="A248" s="173" t="s">
        <v>141</v>
      </c>
      <c r="B248" s="174" t="s">
        <v>33</v>
      </c>
      <c r="C248" s="174" t="s">
        <v>8</v>
      </c>
      <c r="D248" s="175"/>
      <c r="E248" s="175"/>
      <c r="F248" s="175"/>
      <c r="G248" s="176"/>
      <c r="H248" s="176"/>
    </row>
    <row r="249" spans="1:16" x14ac:dyDescent="0.3">
      <c r="A249" s="177" t="s">
        <v>224</v>
      </c>
      <c r="B249" s="178"/>
      <c r="C249" s="178"/>
      <c r="D249" s="178"/>
      <c r="E249" s="178"/>
      <c r="F249" s="178"/>
      <c r="G249" s="179"/>
      <c r="H249" s="179"/>
    </row>
    <row r="250" spans="1:16" x14ac:dyDescent="0.3">
      <c r="A250" s="180" t="s">
        <v>144</v>
      </c>
      <c r="B250" s="6">
        <v>0</v>
      </c>
      <c r="C250" s="6">
        <v>198352.27</v>
      </c>
      <c r="D250" s="181"/>
      <c r="E250" s="181"/>
      <c r="F250" s="181"/>
      <c r="G250" s="182"/>
      <c r="H250" s="182"/>
    </row>
    <row r="251" spans="1:16" x14ac:dyDescent="0.3">
      <c r="A251" s="177" t="s">
        <v>225</v>
      </c>
      <c r="B251" s="178"/>
      <c r="C251" s="178"/>
      <c r="D251" s="178"/>
      <c r="E251" s="178"/>
      <c r="F251" s="178"/>
      <c r="G251" s="179"/>
      <c r="H251" s="179"/>
    </row>
    <row r="252" spans="1:16" x14ac:dyDescent="0.3">
      <c r="A252" s="180" t="s">
        <v>144</v>
      </c>
      <c r="B252" s="6">
        <v>0</v>
      </c>
      <c r="C252" s="6">
        <v>133882.54999999999</v>
      </c>
      <c r="D252" s="181"/>
      <c r="E252" s="181"/>
      <c r="F252" s="181"/>
      <c r="G252" s="182"/>
      <c r="H252" s="182"/>
    </row>
    <row r="253" spans="1:16" x14ac:dyDescent="0.3">
      <c r="A253" s="180" t="s">
        <v>147</v>
      </c>
      <c r="B253" s="6">
        <v>4608110</v>
      </c>
      <c r="C253" s="6">
        <v>2219853.23</v>
      </c>
      <c r="D253" s="181"/>
      <c r="E253" s="181"/>
      <c r="F253" s="181"/>
      <c r="G253" s="182"/>
      <c r="H253" s="182"/>
    </row>
    <row r="254" spans="1:16" x14ac:dyDescent="0.3">
      <c r="A254" s="177" t="s">
        <v>226</v>
      </c>
      <c r="B254" s="178"/>
      <c r="C254" s="178"/>
      <c r="D254" s="178"/>
      <c r="E254" s="178"/>
      <c r="F254" s="178"/>
      <c r="G254" s="179"/>
      <c r="H254" s="179"/>
    </row>
    <row r="255" spans="1:16" x14ac:dyDescent="0.3">
      <c r="A255" s="180" t="s">
        <v>144</v>
      </c>
      <c r="B255" s="6">
        <v>0</v>
      </c>
      <c r="C255" s="6">
        <v>56452</v>
      </c>
      <c r="D255" s="181"/>
      <c r="E255" s="181"/>
      <c r="F255" s="181"/>
      <c r="G255" s="182"/>
      <c r="H255" s="182"/>
    </row>
    <row r="256" spans="1:16" x14ac:dyDescent="0.3">
      <c r="A256" s="180" t="s">
        <v>145</v>
      </c>
      <c r="B256" s="6">
        <v>299076.57</v>
      </c>
      <c r="C256" s="6">
        <v>0</v>
      </c>
      <c r="D256" s="181"/>
      <c r="E256" s="181"/>
      <c r="F256" s="181"/>
      <c r="G256" s="182"/>
      <c r="H256" s="182"/>
    </row>
    <row r="257" spans="1:8" x14ac:dyDescent="0.3">
      <c r="A257" s="172" t="s">
        <v>227</v>
      </c>
    </row>
    <row r="258" spans="1:8" x14ac:dyDescent="0.3">
      <c r="A258" s="173" t="s">
        <v>141</v>
      </c>
      <c r="B258" s="174" t="s">
        <v>33</v>
      </c>
      <c r="C258" s="174" t="s">
        <v>8</v>
      </c>
      <c r="D258" s="175"/>
      <c r="E258" s="175"/>
      <c r="F258" s="175"/>
      <c r="G258" s="176"/>
      <c r="H258" s="176"/>
    </row>
    <row r="259" spans="1:8" x14ac:dyDescent="0.3">
      <c r="A259" s="177" t="s">
        <v>228</v>
      </c>
      <c r="B259" s="178"/>
      <c r="C259" s="178"/>
      <c r="D259" s="178"/>
      <c r="E259" s="178"/>
      <c r="F259" s="178"/>
      <c r="G259" s="179"/>
      <c r="H259" s="179"/>
    </row>
    <row r="260" spans="1:8" x14ac:dyDescent="0.3">
      <c r="A260" s="180" t="s">
        <v>143</v>
      </c>
      <c r="B260" s="6">
        <v>0</v>
      </c>
      <c r="C260" s="6">
        <v>109495</v>
      </c>
      <c r="D260" s="181"/>
      <c r="E260" s="181"/>
      <c r="F260" s="181"/>
      <c r="G260" s="182"/>
      <c r="H260" s="182"/>
    </row>
    <row r="261" spans="1:8" x14ac:dyDescent="0.3">
      <c r="A261" s="180" t="s">
        <v>144</v>
      </c>
      <c r="B261" s="6">
        <v>9660</v>
      </c>
      <c r="C261" s="6">
        <v>0</v>
      </c>
      <c r="D261" s="181"/>
      <c r="E261" s="181"/>
      <c r="F261" s="181"/>
      <c r="G261" s="182"/>
      <c r="H261" s="182"/>
    </row>
    <row r="262" spans="1:8" x14ac:dyDescent="0.3">
      <c r="A262" s="180" t="s">
        <v>146</v>
      </c>
      <c r="B262" s="6">
        <v>55280</v>
      </c>
      <c r="C262" s="6">
        <v>337484</v>
      </c>
      <c r="D262" s="181"/>
      <c r="E262" s="181"/>
      <c r="F262" s="181"/>
      <c r="G262" s="182"/>
      <c r="H262" s="182"/>
    </row>
    <row r="263" spans="1:8" x14ac:dyDescent="0.3">
      <c r="A263" s="177" t="s">
        <v>229</v>
      </c>
      <c r="B263" s="178"/>
      <c r="C263" s="178"/>
      <c r="D263" s="178"/>
      <c r="E263" s="178"/>
      <c r="F263" s="178"/>
      <c r="G263" s="179"/>
      <c r="H263" s="179"/>
    </row>
    <row r="264" spans="1:8" x14ac:dyDescent="0.3">
      <c r="A264" s="180" t="s">
        <v>145</v>
      </c>
      <c r="B264" s="6">
        <v>229640</v>
      </c>
      <c r="C264" s="6">
        <v>0</v>
      </c>
      <c r="D264" s="181"/>
      <c r="E264" s="181"/>
      <c r="F264" s="181"/>
      <c r="G264" s="182"/>
      <c r="H264" s="182"/>
    </row>
    <row r="265" spans="1:8" x14ac:dyDescent="0.3">
      <c r="A265" s="180" t="s">
        <v>146</v>
      </c>
      <c r="B265" s="6">
        <v>649740</v>
      </c>
      <c r="C265" s="6">
        <v>49920</v>
      </c>
      <c r="D265" s="181"/>
      <c r="E265" s="181"/>
      <c r="F265" s="181"/>
      <c r="G265" s="182"/>
      <c r="H265" s="182"/>
    </row>
    <row r="266" spans="1:8" x14ac:dyDescent="0.3">
      <c r="A266" s="177" t="s">
        <v>230</v>
      </c>
      <c r="B266" s="178"/>
      <c r="C266" s="178"/>
      <c r="D266" s="178"/>
      <c r="E266" s="178"/>
      <c r="F266" s="178"/>
      <c r="G266" s="179"/>
      <c r="H266" s="179"/>
    </row>
    <row r="267" spans="1:8" x14ac:dyDescent="0.3">
      <c r="A267" s="180" t="s">
        <v>145</v>
      </c>
      <c r="B267" s="6">
        <v>66000</v>
      </c>
      <c r="C267" s="6">
        <v>0</v>
      </c>
      <c r="D267" s="181"/>
      <c r="E267" s="181"/>
      <c r="F267" s="181"/>
      <c r="G267" s="182"/>
      <c r="H267" s="182"/>
    </row>
    <row r="268" spans="1:8" x14ac:dyDescent="0.3">
      <c r="A268" s="180" t="s">
        <v>146</v>
      </c>
      <c r="B268" s="6">
        <v>417000</v>
      </c>
      <c r="C268" s="6">
        <v>0</v>
      </c>
      <c r="D268" s="181"/>
      <c r="E268" s="181"/>
      <c r="F268" s="181"/>
      <c r="G268" s="182"/>
      <c r="H268" s="182"/>
    </row>
    <row r="269" spans="1:8" x14ac:dyDescent="0.3">
      <c r="A269" s="172" t="s">
        <v>231</v>
      </c>
    </row>
    <row r="270" spans="1:8" x14ac:dyDescent="0.3">
      <c r="A270" s="173" t="s">
        <v>141</v>
      </c>
      <c r="B270" s="174" t="s">
        <v>33</v>
      </c>
      <c r="C270" s="174" t="s">
        <v>8</v>
      </c>
      <c r="D270" s="175"/>
      <c r="E270" s="175"/>
      <c r="F270" s="175"/>
      <c r="G270" s="176"/>
      <c r="H270" s="176"/>
    </row>
    <row r="271" spans="1:8" x14ac:dyDescent="0.3">
      <c r="A271" s="177" t="s">
        <v>232</v>
      </c>
      <c r="B271" s="178"/>
      <c r="C271" s="178"/>
      <c r="D271" s="178"/>
      <c r="E271" s="178"/>
      <c r="F271" s="178"/>
      <c r="G271" s="179"/>
      <c r="H271" s="179"/>
    </row>
    <row r="272" spans="1:8" x14ac:dyDescent="0.3">
      <c r="A272" s="180" t="s">
        <v>144</v>
      </c>
      <c r="B272" s="6">
        <v>0</v>
      </c>
      <c r="C272" s="6">
        <v>20720</v>
      </c>
      <c r="D272" s="181"/>
      <c r="E272" s="181"/>
      <c r="F272" s="181"/>
      <c r="G272" s="182"/>
      <c r="H272" s="182"/>
    </row>
    <row r="273" spans="1:8" x14ac:dyDescent="0.3">
      <c r="A273" s="183" t="s">
        <v>233</v>
      </c>
      <c r="B273" s="184"/>
      <c r="C273" s="184"/>
      <c r="D273" s="184"/>
      <c r="E273" s="184"/>
      <c r="F273" s="184"/>
      <c r="G273" s="184"/>
      <c r="H273" s="184"/>
    </row>
    <row r="274" spans="1:8" x14ac:dyDescent="0.3">
      <c r="A274" s="172" t="s">
        <v>234</v>
      </c>
    </row>
    <row r="275" spans="1:8" x14ac:dyDescent="0.3">
      <c r="A275" s="173" t="s">
        <v>141</v>
      </c>
      <c r="B275" s="174" t="s">
        <v>33</v>
      </c>
      <c r="C275" s="174" t="s">
        <v>8</v>
      </c>
      <c r="D275" s="175"/>
      <c r="E275" s="175"/>
      <c r="F275" s="175"/>
      <c r="G275" s="176"/>
      <c r="H275" s="176"/>
    </row>
    <row r="276" spans="1:8" x14ac:dyDescent="0.3">
      <c r="A276" s="177" t="s">
        <v>235</v>
      </c>
      <c r="B276" s="178"/>
      <c r="C276" s="178"/>
      <c r="D276" s="178"/>
      <c r="E276" s="178"/>
      <c r="F276" s="178"/>
      <c r="G276" s="179"/>
      <c r="H276" s="179"/>
    </row>
    <row r="277" spans="1:8" x14ac:dyDescent="0.3">
      <c r="A277" s="180" t="s">
        <v>144</v>
      </c>
      <c r="B277" s="6">
        <v>72850.5</v>
      </c>
      <c r="C277" s="6">
        <v>952275.66</v>
      </c>
      <c r="D277" s="181"/>
      <c r="E277" s="181"/>
      <c r="F277" s="181"/>
      <c r="G277" s="182"/>
      <c r="H277" s="182"/>
    </row>
    <row r="278" spans="1:8" x14ac:dyDescent="0.3">
      <c r="A278" s="172" t="s">
        <v>236</v>
      </c>
    </row>
    <row r="279" spans="1:8" x14ac:dyDescent="0.3">
      <c r="A279" s="173" t="s">
        <v>141</v>
      </c>
      <c r="B279" s="174" t="s">
        <v>33</v>
      </c>
      <c r="C279" s="174" t="s">
        <v>8</v>
      </c>
      <c r="D279" s="175"/>
      <c r="E279" s="175"/>
      <c r="F279" s="175"/>
      <c r="G279" s="176"/>
      <c r="H279" s="176"/>
    </row>
    <row r="280" spans="1:8" x14ac:dyDescent="0.3">
      <c r="A280" s="177" t="s">
        <v>237</v>
      </c>
      <c r="B280" s="178"/>
      <c r="C280" s="178"/>
      <c r="D280" s="178"/>
      <c r="E280" s="178"/>
      <c r="F280" s="178"/>
      <c r="G280" s="179"/>
      <c r="H280" s="179"/>
    </row>
    <row r="281" spans="1:8" x14ac:dyDescent="0.3">
      <c r="A281" s="180" t="s">
        <v>143</v>
      </c>
      <c r="B281" s="6">
        <v>683499.47</v>
      </c>
      <c r="C281" s="6">
        <v>163657.44</v>
      </c>
      <c r="D281" s="181"/>
      <c r="E281" s="181"/>
      <c r="F281" s="181"/>
      <c r="G281" s="182"/>
      <c r="H281" s="182"/>
    </row>
    <row r="282" spans="1:8" x14ac:dyDescent="0.3">
      <c r="A282" s="180" t="s">
        <v>145</v>
      </c>
      <c r="B282" s="6">
        <v>48885</v>
      </c>
      <c r="C282" s="6">
        <v>0</v>
      </c>
      <c r="D282" s="181"/>
      <c r="E282" s="181"/>
      <c r="F282" s="181"/>
      <c r="G282" s="182"/>
      <c r="H282" s="182"/>
    </row>
    <row r="283" spans="1:8" x14ac:dyDescent="0.3">
      <c r="A283" s="177" t="s">
        <v>238</v>
      </c>
      <c r="B283" s="178"/>
      <c r="C283" s="178"/>
      <c r="D283" s="178"/>
      <c r="E283" s="178"/>
      <c r="F283" s="178"/>
      <c r="G283" s="179"/>
      <c r="H283" s="179"/>
    </row>
    <row r="284" spans="1:8" x14ac:dyDescent="0.3">
      <c r="A284" s="180" t="s">
        <v>143</v>
      </c>
      <c r="B284" s="6">
        <v>0</v>
      </c>
      <c r="C284" s="6">
        <v>1329665.18</v>
      </c>
      <c r="D284" s="181"/>
      <c r="E284" s="181"/>
      <c r="F284" s="181"/>
      <c r="G284" s="182"/>
      <c r="H284" s="182"/>
    </row>
    <row r="285" spans="1:8" x14ac:dyDescent="0.3">
      <c r="A285" s="177" t="s">
        <v>239</v>
      </c>
      <c r="B285" s="178"/>
      <c r="C285" s="178"/>
      <c r="D285" s="178"/>
      <c r="E285" s="178"/>
      <c r="F285" s="178"/>
      <c r="G285" s="179"/>
      <c r="H285" s="179"/>
    </row>
    <row r="286" spans="1:8" x14ac:dyDescent="0.3">
      <c r="A286" s="180" t="s">
        <v>143</v>
      </c>
      <c r="B286" s="6">
        <v>47491.11</v>
      </c>
      <c r="C286" s="6">
        <v>82246.23</v>
      </c>
      <c r="D286" s="181"/>
      <c r="E286" s="181"/>
      <c r="F286" s="181"/>
      <c r="G286" s="182"/>
      <c r="H286" s="182"/>
    </row>
    <row r="287" spans="1:8" x14ac:dyDescent="0.3">
      <c r="A287" s="180" t="s">
        <v>145</v>
      </c>
      <c r="B287" s="6">
        <v>30220</v>
      </c>
      <c r="C287" s="6">
        <v>0</v>
      </c>
      <c r="D287" s="181"/>
      <c r="E287" s="181"/>
      <c r="F287" s="181"/>
      <c r="G287" s="182"/>
      <c r="H287" s="182"/>
    </row>
    <row r="288" spans="1:8" x14ac:dyDescent="0.3">
      <c r="A288" s="172" t="s">
        <v>240</v>
      </c>
    </row>
    <row r="289" spans="1:8" x14ac:dyDescent="0.3">
      <c r="A289" s="173" t="s">
        <v>141</v>
      </c>
      <c r="B289" s="174" t="s">
        <v>33</v>
      </c>
      <c r="C289" s="174" t="s">
        <v>8</v>
      </c>
      <c r="D289" s="175"/>
      <c r="E289" s="175"/>
      <c r="F289" s="175"/>
      <c r="G289" s="176"/>
      <c r="H289" s="176"/>
    </row>
    <row r="290" spans="1:8" x14ac:dyDescent="0.3">
      <c r="A290" s="177" t="s">
        <v>241</v>
      </c>
      <c r="B290" s="178"/>
      <c r="C290" s="178"/>
      <c r="D290" s="178"/>
      <c r="E290" s="178"/>
      <c r="F290" s="178"/>
      <c r="G290" s="179"/>
      <c r="H290" s="179"/>
    </row>
    <row r="291" spans="1:8" x14ac:dyDescent="0.3">
      <c r="A291" s="180" t="s">
        <v>144</v>
      </c>
      <c r="B291" s="6">
        <v>187716</v>
      </c>
      <c r="C291" s="6">
        <v>44409</v>
      </c>
      <c r="D291" s="181"/>
      <c r="E291" s="181"/>
      <c r="F291" s="181"/>
      <c r="G291" s="182"/>
      <c r="H291" s="182"/>
    </row>
    <row r="292" spans="1:8" x14ac:dyDescent="0.3">
      <c r="A292" s="177" t="s">
        <v>242</v>
      </c>
      <c r="B292" s="178"/>
      <c r="C292" s="178"/>
      <c r="D292" s="178"/>
      <c r="E292" s="178"/>
      <c r="F292" s="178"/>
      <c r="G292" s="179"/>
      <c r="H292" s="179"/>
    </row>
    <row r="293" spans="1:8" x14ac:dyDescent="0.3">
      <c r="A293" s="180" t="s">
        <v>143</v>
      </c>
      <c r="B293" s="6">
        <v>0</v>
      </c>
      <c r="C293" s="6">
        <v>63000</v>
      </c>
      <c r="D293" s="181"/>
      <c r="E293" s="181"/>
      <c r="F293" s="181"/>
      <c r="G293" s="182"/>
      <c r="H293" s="182"/>
    </row>
    <row r="294" spans="1:8" x14ac:dyDescent="0.3">
      <c r="A294" s="180" t="s">
        <v>144</v>
      </c>
      <c r="B294" s="6">
        <v>0</v>
      </c>
      <c r="C294" s="6">
        <v>51000</v>
      </c>
      <c r="D294" s="181"/>
      <c r="E294" s="181"/>
      <c r="F294" s="181"/>
      <c r="G294" s="182"/>
      <c r="H294" s="182"/>
    </row>
    <row r="295" spans="1:8" x14ac:dyDescent="0.3">
      <c r="A295" s="177" t="s">
        <v>243</v>
      </c>
      <c r="B295" s="178"/>
      <c r="C295" s="178"/>
      <c r="D295" s="178"/>
      <c r="E295" s="178"/>
      <c r="F295" s="178"/>
      <c r="G295" s="179"/>
      <c r="H295" s="179"/>
    </row>
    <row r="296" spans="1:8" x14ac:dyDescent="0.3">
      <c r="A296" s="180" t="s">
        <v>144</v>
      </c>
      <c r="B296" s="6">
        <v>174428</v>
      </c>
      <c r="C296" s="6">
        <v>55640</v>
      </c>
      <c r="D296" s="181"/>
      <c r="E296" s="181"/>
      <c r="F296" s="181"/>
      <c r="G296" s="182"/>
      <c r="H296" s="182"/>
    </row>
    <row r="297" spans="1:8" x14ac:dyDescent="0.3">
      <c r="A297" s="177" t="s">
        <v>244</v>
      </c>
      <c r="B297" s="178"/>
      <c r="C297" s="178"/>
      <c r="D297" s="178"/>
      <c r="E297" s="178"/>
      <c r="F297" s="178"/>
      <c r="G297" s="179"/>
      <c r="H297" s="179"/>
    </row>
    <row r="298" spans="1:8" x14ac:dyDescent="0.3">
      <c r="A298" s="180" t="s">
        <v>144</v>
      </c>
      <c r="B298" s="6">
        <v>199760.5</v>
      </c>
      <c r="C298" s="6">
        <v>104779.71</v>
      </c>
      <c r="D298" s="181"/>
      <c r="E298" s="181"/>
      <c r="F298" s="181"/>
      <c r="G298" s="182"/>
      <c r="H298" s="182"/>
    </row>
    <row r="299" spans="1:8" x14ac:dyDescent="0.3">
      <c r="A299" s="177" t="s">
        <v>245</v>
      </c>
      <c r="B299" s="178"/>
      <c r="C299" s="178"/>
      <c r="D299" s="178"/>
      <c r="E299" s="178"/>
      <c r="F299" s="178"/>
      <c r="G299" s="179"/>
      <c r="H299" s="179"/>
    </row>
    <row r="300" spans="1:8" x14ac:dyDescent="0.3">
      <c r="A300" s="180" t="s">
        <v>144</v>
      </c>
      <c r="B300" s="6">
        <v>82396</v>
      </c>
      <c r="C300" s="6">
        <v>79153.899999999994</v>
      </c>
      <c r="D300" s="181"/>
      <c r="E300" s="181"/>
      <c r="F300" s="181"/>
      <c r="G300" s="182"/>
      <c r="H300" s="182"/>
    </row>
    <row r="301" spans="1:8" x14ac:dyDescent="0.3">
      <c r="A301" s="177" t="s">
        <v>246</v>
      </c>
      <c r="B301" s="178"/>
      <c r="C301" s="178"/>
      <c r="D301" s="178"/>
      <c r="E301" s="178"/>
      <c r="F301" s="178"/>
      <c r="G301" s="179"/>
      <c r="H301" s="179"/>
    </row>
    <row r="302" spans="1:8" x14ac:dyDescent="0.3">
      <c r="A302" s="180" t="s">
        <v>144</v>
      </c>
      <c r="B302" s="6">
        <v>4680</v>
      </c>
      <c r="C302" s="6">
        <v>7200</v>
      </c>
      <c r="D302" s="181"/>
      <c r="E302" s="181"/>
      <c r="F302" s="181"/>
      <c r="G302" s="182"/>
      <c r="H302" s="182"/>
    </row>
    <row r="303" spans="1:8" x14ac:dyDescent="0.3">
      <c r="A303" s="177" t="s">
        <v>247</v>
      </c>
      <c r="B303" s="178"/>
      <c r="C303" s="178"/>
      <c r="D303" s="178"/>
      <c r="E303" s="178"/>
      <c r="F303" s="178"/>
      <c r="G303" s="179"/>
      <c r="H303" s="179"/>
    </row>
    <row r="304" spans="1:8" x14ac:dyDescent="0.3">
      <c r="A304" s="180" t="s">
        <v>144</v>
      </c>
      <c r="B304" s="6">
        <v>194439</v>
      </c>
      <c r="C304" s="6">
        <v>58214</v>
      </c>
      <c r="D304" s="181"/>
      <c r="E304" s="181"/>
      <c r="F304" s="181"/>
      <c r="G304" s="182"/>
      <c r="H304" s="182"/>
    </row>
    <row r="305" spans="1:8" x14ac:dyDescent="0.3">
      <c r="A305" s="177" t="s">
        <v>248</v>
      </c>
      <c r="B305" s="178"/>
      <c r="C305" s="178"/>
      <c r="D305" s="178"/>
      <c r="E305" s="178"/>
      <c r="F305" s="178"/>
      <c r="G305" s="179"/>
      <c r="H305" s="179"/>
    </row>
    <row r="306" spans="1:8" x14ac:dyDescent="0.3">
      <c r="A306" s="180" t="s">
        <v>144</v>
      </c>
      <c r="B306" s="6">
        <v>250000</v>
      </c>
      <c r="C306" s="6">
        <v>102680</v>
      </c>
      <c r="D306" s="181"/>
      <c r="E306" s="181"/>
      <c r="F306" s="181"/>
      <c r="G306" s="182"/>
      <c r="H306" s="182"/>
    </row>
    <row r="307" spans="1:8" x14ac:dyDescent="0.3">
      <c r="A307" s="177" t="s">
        <v>249</v>
      </c>
      <c r="B307" s="178"/>
      <c r="C307" s="178"/>
      <c r="D307" s="178"/>
      <c r="E307" s="178"/>
      <c r="F307" s="178"/>
      <c r="G307" s="179"/>
      <c r="H307" s="179"/>
    </row>
    <row r="308" spans="1:8" x14ac:dyDescent="0.3">
      <c r="A308" s="180" t="s">
        <v>144</v>
      </c>
      <c r="B308" s="6">
        <v>30000</v>
      </c>
      <c r="C308" s="6">
        <v>0</v>
      </c>
      <c r="D308" s="181"/>
      <c r="E308" s="181"/>
      <c r="F308" s="181"/>
      <c r="G308" s="182"/>
      <c r="H308" s="182"/>
    </row>
    <row r="309" spans="1:8" x14ac:dyDescent="0.3">
      <c r="A309" s="177" t="s">
        <v>250</v>
      </c>
      <c r="B309" s="178"/>
      <c r="C309" s="178"/>
      <c r="D309" s="178"/>
      <c r="E309" s="178"/>
      <c r="F309" s="178"/>
      <c r="G309" s="179"/>
      <c r="H309" s="179"/>
    </row>
    <row r="310" spans="1:8" x14ac:dyDescent="0.3">
      <c r="A310" s="180" t="s">
        <v>144</v>
      </c>
      <c r="B310" s="6">
        <v>19974</v>
      </c>
      <c r="C310" s="6">
        <v>166987</v>
      </c>
      <c r="D310" s="181"/>
      <c r="E310" s="181"/>
      <c r="F310" s="181"/>
      <c r="G310" s="182"/>
      <c r="H310" s="182"/>
    </row>
    <row r="311" spans="1:8" x14ac:dyDescent="0.3">
      <c r="A311" s="177" t="s">
        <v>251</v>
      </c>
      <c r="B311" s="178"/>
      <c r="C311" s="178"/>
      <c r="D311" s="178"/>
      <c r="E311" s="178"/>
      <c r="F311" s="178"/>
      <c r="G311" s="179"/>
      <c r="H311" s="179"/>
    </row>
    <row r="312" spans="1:8" x14ac:dyDescent="0.3">
      <c r="A312" s="180" t="s">
        <v>143</v>
      </c>
      <c r="B312" s="6">
        <v>0</v>
      </c>
      <c r="C312" s="6">
        <v>0</v>
      </c>
      <c r="D312" s="181"/>
      <c r="E312" s="181"/>
      <c r="F312" s="181"/>
      <c r="G312" s="182"/>
      <c r="H312" s="182"/>
    </row>
    <row r="313" spans="1:8" x14ac:dyDescent="0.3">
      <c r="A313" s="180" t="s">
        <v>144</v>
      </c>
      <c r="B313" s="6">
        <v>520819.27</v>
      </c>
      <c r="C313" s="6">
        <v>579903.56000000006</v>
      </c>
      <c r="D313" s="181"/>
      <c r="E313" s="181"/>
      <c r="F313" s="181"/>
      <c r="G313" s="182"/>
      <c r="H313" s="182"/>
    </row>
    <row r="314" spans="1:8" x14ac:dyDescent="0.3">
      <c r="A314" s="177" t="s">
        <v>252</v>
      </c>
      <c r="B314" s="178"/>
      <c r="C314" s="178"/>
      <c r="D314" s="178"/>
      <c r="E314" s="178"/>
      <c r="F314" s="178"/>
      <c r="G314" s="179"/>
      <c r="H314" s="179"/>
    </row>
    <row r="315" spans="1:8" x14ac:dyDescent="0.3">
      <c r="A315" s="180" t="s">
        <v>144</v>
      </c>
      <c r="B315" s="6">
        <v>52807</v>
      </c>
      <c r="C315" s="6">
        <v>0</v>
      </c>
      <c r="D315" s="181"/>
      <c r="E315" s="181"/>
      <c r="F315" s="181"/>
      <c r="G315" s="182"/>
      <c r="H315" s="182"/>
    </row>
    <row r="316" spans="1:8" x14ac:dyDescent="0.3">
      <c r="A316" s="172" t="s">
        <v>253</v>
      </c>
    </row>
    <row r="317" spans="1:8" x14ac:dyDescent="0.3">
      <c r="A317" s="173" t="s">
        <v>141</v>
      </c>
      <c r="B317" s="174" t="s">
        <v>33</v>
      </c>
      <c r="C317" s="174" t="s">
        <v>8</v>
      </c>
      <c r="D317" s="175"/>
      <c r="E317" s="175"/>
      <c r="F317" s="175"/>
      <c r="G317" s="176"/>
      <c r="H317" s="176"/>
    </row>
    <row r="318" spans="1:8" x14ac:dyDescent="0.3">
      <c r="A318" s="177" t="s">
        <v>254</v>
      </c>
      <c r="B318" s="178"/>
      <c r="C318" s="178"/>
      <c r="D318" s="178"/>
      <c r="E318" s="178"/>
      <c r="F318" s="178"/>
      <c r="G318" s="179"/>
      <c r="H318" s="179"/>
    </row>
    <row r="319" spans="1:8" x14ac:dyDescent="0.3">
      <c r="A319" s="180" t="s">
        <v>144</v>
      </c>
      <c r="B319" s="6">
        <v>0</v>
      </c>
      <c r="C319" s="6">
        <v>27120</v>
      </c>
      <c r="D319" s="181"/>
      <c r="E319" s="181"/>
      <c r="F319" s="181"/>
      <c r="G319" s="182"/>
      <c r="H319" s="182"/>
    </row>
    <row r="320" spans="1:8" x14ac:dyDescent="0.3">
      <c r="A320" s="177" t="s">
        <v>255</v>
      </c>
      <c r="B320" s="178"/>
      <c r="C320" s="178"/>
      <c r="D320" s="178"/>
      <c r="E320" s="178"/>
      <c r="F320" s="178"/>
      <c r="G320" s="179"/>
      <c r="H320" s="179"/>
    </row>
    <row r="321" spans="1:8" x14ac:dyDescent="0.3">
      <c r="A321" s="180" t="s">
        <v>144</v>
      </c>
      <c r="B321" s="6">
        <v>349014</v>
      </c>
      <c r="C321" s="6">
        <v>568333</v>
      </c>
      <c r="D321" s="181"/>
      <c r="E321" s="181"/>
      <c r="F321" s="181"/>
      <c r="G321" s="182"/>
      <c r="H321" s="182"/>
    </row>
    <row r="322" spans="1:8" x14ac:dyDescent="0.3">
      <c r="A322" s="177" t="s">
        <v>256</v>
      </c>
      <c r="B322" s="178"/>
      <c r="C322" s="178"/>
      <c r="D322" s="178"/>
      <c r="E322" s="178"/>
      <c r="F322" s="178"/>
      <c r="G322" s="179"/>
      <c r="H322" s="179"/>
    </row>
    <row r="323" spans="1:8" x14ac:dyDescent="0.3">
      <c r="A323" s="180" t="s">
        <v>144</v>
      </c>
      <c r="B323" s="6">
        <v>0</v>
      </c>
      <c r="C323" s="6">
        <v>195619.14</v>
      </c>
      <c r="D323" s="181"/>
      <c r="E323" s="181"/>
      <c r="F323" s="181"/>
      <c r="G323" s="182"/>
      <c r="H323" s="182"/>
    </row>
    <row r="324" spans="1:8" x14ac:dyDescent="0.3">
      <c r="A324" s="172" t="s">
        <v>257</v>
      </c>
    </row>
    <row r="325" spans="1:8" x14ac:dyDescent="0.3">
      <c r="A325" s="173" t="s">
        <v>141</v>
      </c>
      <c r="B325" s="174" t="s">
        <v>33</v>
      </c>
      <c r="C325" s="174" t="s">
        <v>8</v>
      </c>
      <c r="D325" s="175"/>
      <c r="E325" s="175"/>
      <c r="F325" s="175"/>
      <c r="G325" s="176"/>
      <c r="H325" s="176"/>
    </row>
    <row r="326" spans="1:8" x14ac:dyDescent="0.3">
      <c r="A326" s="177" t="s">
        <v>258</v>
      </c>
      <c r="B326" s="178"/>
      <c r="C326" s="178"/>
      <c r="D326" s="178"/>
      <c r="E326" s="178"/>
      <c r="F326" s="178"/>
      <c r="G326" s="179"/>
      <c r="H326" s="179"/>
    </row>
    <row r="327" spans="1:8" x14ac:dyDescent="0.3">
      <c r="A327" s="180" t="s">
        <v>144</v>
      </c>
      <c r="B327" s="6">
        <v>1444518.25</v>
      </c>
      <c r="C327" s="6">
        <v>1906001.7</v>
      </c>
      <c r="D327" s="181"/>
      <c r="E327" s="181"/>
      <c r="F327" s="181"/>
      <c r="G327" s="182"/>
      <c r="H327" s="182"/>
    </row>
    <row r="328" spans="1:8" x14ac:dyDescent="0.3">
      <c r="A328" s="180" t="s">
        <v>145</v>
      </c>
      <c r="B328" s="6">
        <v>300000</v>
      </c>
      <c r="C328" s="6">
        <v>0</v>
      </c>
      <c r="D328" s="181"/>
      <c r="E328" s="181"/>
      <c r="F328" s="181"/>
      <c r="G328" s="182"/>
      <c r="H328" s="182"/>
    </row>
    <row r="329" spans="1:8" x14ac:dyDescent="0.3">
      <c r="A329" s="172" t="s">
        <v>259</v>
      </c>
    </row>
    <row r="330" spans="1:8" x14ac:dyDescent="0.3">
      <c r="A330" s="173" t="s">
        <v>141</v>
      </c>
      <c r="B330" s="174" t="s">
        <v>33</v>
      </c>
      <c r="C330" s="174" t="s">
        <v>8</v>
      </c>
      <c r="D330" s="175"/>
      <c r="E330" s="175"/>
      <c r="F330" s="175"/>
      <c r="G330" s="176"/>
      <c r="H330" s="176"/>
    </row>
    <row r="331" spans="1:8" x14ac:dyDescent="0.3">
      <c r="A331" s="177" t="s">
        <v>260</v>
      </c>
      <c r="B331" s="178"/>
      <c r="C331" s="178"/>
      <c r="D331" s="178"/>
      <c r="E331" s="178"/>
      <c r="F331" s="178"/>
      <c r="G331" s="179"/>
      <c r="H331" s="179"/>
    </row>
    <row r="332" spans="1:8" x14ac:dyDescent="0.3">
      <c r="A332" s="180" t="s">
        <v>143</v>
      </c>
      <c r="B332" s="6">
        <v>0</v>
      </c>
      <c r="C332" s="6">
        <v>1030993.55</v>
      </c>
      <c r="D332" s="181"/>
      <c r="E332" s="181"/>
      <c r="F332" s="181"/>
      <c r="G332" s="182"/>
      <c r="H332" s="182"/>
    </row>
    <row r="333" spans="1:8" x14ac:dyDescent="0.3">
      <c r="A333" s="177" t="s">
        <v>261</v>
      </c>
      <c r="B333" s="178"/>
      <c r="C333" s="178"/>
      <c r="D333" s="178"/>
      <c r="E333" s="178"/>
      <c r="F333" s="178"/>
      <c r="G333" s="179"/>
      <c r="H333" s="179"/>
    </row>
    <row r="334" spans="1:8" x14ac:dyDescent="0.3">
      <c r="A334" s="177" t="s">
        <v>262</v>
      </c>
      <c r="B334" s="178"/>
      <c r="C334" s="178"/>
      <c r="D334" s="178"/>
      <c r="E334" s="178"/>
      <c r="F334" s="178"/>
      <c r="G334" s="179"/>
      <c r="H334" s="179"/>
    </row>
    <row r="335" spans="1:8" x14ac:dyDescent="0.3">
      <c r="A335" s="180" t="s">
        <v>143</v>
      </c>
      <c r="B335" s="6">
        <v>0</v>
      </c>
      <c r="C335" s="6">
        <v>505702</v>
      </c>
      <c r="D335" s="181"/>
      <c r="E335" s="181"/>
      <c r="F335" s="181"/>
      <c r="G335" s="182"/>
      <c r="H335" s="182"/>
    </row>
    <row r="336" spans="1:8" x14ac:dyDescent="0.3">
      <c r="A336" s="177" t="s">
        <v>263</v>
      </c>
      <c r="B336" s="178"/>
      <c r="C336" s="178"/>
      <c r="D336" s="178"/>
      <c r="E336" s="178"/>
      <c r="F336" s="178"/>
      <c r="G336" s="179"/>
      <c r="H336" s="179"/>
    </row>
    <row r="337" spans="1:8" x14ac:dyDescent="0.3">
      <c r="A337" s="177" t="s">
        <v>264</v>
      </c>
      <c r="B337" s="178"/>
      <c r="C337" s="178"/>
      <c r="D337" s="178"/>
      <c r="E337" s="178"/>
      <c r="F337" s="178"/>
      <c r="G337" s="179"/>
      <c r="H337" s="179"/>
    </row>
    <row r="338" spans="1:8" x14ac:dyDescent="0.3">
      <c r="A338" s="180" t="s">
        <v>143</v>
      </c>
      <c r="B338" s="6">
        <v>0</v>
      </c>
      <c r="C338" s="6">
        <v>43655</v>
      </c>
      <c r="D338" s="181"/>
      <c r="E338" s="181"/>
      <c r="F338" s="181"/>
      <c r="G338" s="182"/>
      <c r="H338" s="182"/>
    </row>
    <row r="339" spans="1:8" x14ac:dyDescent="0.3">
      <c r="A339" s="177" t="s">
        <v>265</v>
      </c>
      <c r="B339" s="178"/>
      <c r="C339" s="178"/>
      <c r="D339" s="178"/>
      <c r="E339" s="178"/>
      <c r="F339" s="178"/>
      <c r="G339" s="179"/>
      <c r="H339" s="179"/>
    </row>
    <row r="340" spans="1:8" x14ac:dyDescent="0.3">
      <c r="A340" s="180" t="s">
        <v>143</v>
      </c>
      <c r="B340" s="6">
        <v>0</v>
      </c>
      <c r="C340" s="6">
        <v>901886</v>
      </c>
      <c r="D340" s="181"/>
      <c r="E340" s="181"/>
      <c r="F340" s="181"/>
      <c r="G340" s="182"/>
      <c r="H340" s="182"/>
    </row>
    <row r="341" spans="1:8" x14ac:dyDescent="0.3">
      <c r="A341" s="177" t="s">
        <v>266</v>
      </c>
      <c r="B341" s="178"/>
      <c r="C341" s="178"/>
      <c r="D341" s="178"/>
      <c r="E341" s="178"/>
      <c r="F341" s="178"/>
      <c r="G341" s="179"/>
      <c r="H341" s="179"/>
    </row>
    <row r="342" spans="1:8" x14ac:dyDescent="0.3">
      <c r="A342" s="180" t="s">
        <v>143</v>
      </c>
      <c r="B342" s="6">
        <v>0</v>
      </c>
      <c r="C342" s="6">
        <v>1593120.36</v>
      </c>
      <c r="D342" s="181"/>
      <c r="E342" s="181"/>
      <c r="F342" s="181"/>
      <c r="G342" s="182"/>
      <c r="H342" s="182"/>
    </row>
    <row r="343" spans="1:8" x14ac:dyDescent="0.3">
      <c r="A343" s="180" t="s">
        <v>147</v>
      </c>
      <c r="B343" s="6">
        <v>0</v>
      </c>
      <c r="C343" s="6">
        <v>44700</v>
      </c>
      <c r="D343" s="181"/>
      <c r="E343" s="181"/>
      <c r="F343" s="181"/>
      <c r="G343" s="182"/>
      <c r="H343" s="182"/>
    </row>
    <row r="344" spans="1:8" x14ac:dyDescent="0.3">
      <c r="A344" s="177" t="s">
        <v>267</v>
      </c>
      <c r="B344" s="178"/>
      <c r="C344" s="178"/>
      <c r="D344" s="178"/>
      <c r="E344" s="178"/>
      <c r="F344" s="178"/>
      <c r="G344" s="179"/>
      <c r="H344" s="179"/>
    </row>
    <row r="345" spans="1:8" x14ac:dyDescent="0.3">
      <c r="A345" s="180" t="s">
        <v>143</v>
      </c>
      <c r="B345" s="6">
        <v>0</v>
      </c>
      <c r="C345" s="6">
        <v>98609.1</v>
      </c>
      <c r="D345" s="181"/>
      <c r="E345" s="181"/>
      <c r="F345" s="181"/>
      <c r="G345" s="182"/>
      <c r="H345" s="182"/>
    </row>
    <row r="346" spans="1:8" x14ac:dyDescent="0.3">
      <c r="A346" s="180" t="s">
        <v>147</v>
      </c>
      <c r="B346" s="6">
        <v>0</v>
      </c>
      <c r="C346" s="6">
        <v>0</v>
      </c>
      <c r="D346" s="181"/>
      <c r="E346" s="181"/>
      <c r="F346" s="181"/>
      <c r="G346" s="182"/>
      <c r="H346" s="182"/>
    </row>
    <row r="347" spans="1:8" x14ac:dyDescent="0.3">
      <c r="A347" s="177" t="s">
        <v>268</v>
      </c>
      <c r="B347" s="178"/>
      <c r="C347" s="178"/>
      <c r="D347" s="178"/>
      <c r="E347" s="178"/>
      <c r="F347" s="178"/>
      <c r="G347" s="179"/>
      <c r="H347" s="179"/>
    </row>
    <row r="348" spans="1:8" x14ac:dyDescent="0.3">
      <c r="A348" s="180" t="s">
        <v>143</v>
      </c>
      <c r="B348" s="6">
        <v>0</v>
      </c>
      <c r="C348" s="6">
        <v>2993024.21</v>
      </c>
      <c r="D348" s="181"/>
      <c r="E348" s="181"/>
      <c r="F348" s="181"/>
      <c r="G348" s="182"/>
      <c r="H348" s="182"/>
    </row>
    <row r="349" spans="1:8" x14ac:dyDescent="0.3">
      <c r="A349" s="180" t="s">
        <v>146</v>
      </c>
      <c r="B349" s="6">
        <v>0</v>
      </c>
      <c r="C349" s="6">
        <v>30000</v>
      </c>
      <c r="D349" s="181"/>
      <c r="E349" s="181"/>
      <c r="F349" s="181"/>
      <c r="G349" s="182"/>
      <c r="H349" s="182"/>
    </row>
    <row r="350" spans="1:8" x14ac:dyDescent="0.3">
      <c r="A350" s="177" t="s">
        <v>269</v>
      </c>
      <c r="B350" s="178"/>
      <c r="C350" s="178"/>
      <c r="D350" s="178"/>
      <c r="E350" s="178"/>
      <c r="F350" s="178"/>
      <c r="G350" s="179"/>
      <c r="H350" s="179"/>
    </row>
    <row r="351" spans="1:8" x14ac:dyDescent="0.3">
      <c r="A351" s="180" t="s">
        <v>143</v>
      </c>
      <c r="B351" s="6">
        <v>0</v>
      </c>
      <c r="C351" s="6">
        <v>696114</v>
      </c>
      <c r="D351" s="181"/>
      <c r="E351" s="181"/>
      <c r="F351" s="181"/>
      <c r="G351" s="182"/>
      <c r="H351" s="182"/>
    </row>
    <row r="352" spans="1:8" x14ac:dyDescent="0.3">
      <c r="A352" s="177" t="s">
        <v>270</v>
      </c>
      <c r="B352" s="178"/>
      <c r="C352" s="178"/>
      <c r="D352" s="178"/>
      <c r="E352" s="178"/>
      <c r="F352" s="178"/>
      <c r="G352" s="179"/>
      <c r="H352" s="179"/>
    </row>
    <row r="353" spans="1:8" x14ac:dyDescent="0.3">
      <c r="A353" s="180" t="s">
        <v>144</v>
      </c>
      <c r="B353" s="6">
        <v>0</v>
      </c>
      <c r="C353" s="6">
        <v>107850</v>
      </c>
      <c r="D353" s="181"/>
      <c r="E353" s="181"/>
      <c r="F353" s="181"/>
      <c r="G353" s="182"/>
      <c r="H353" s="182"/>
    </row>
    <row r="354" spans="1:8" x14ac:dyDescent="0.3">
      <c r="A354" s="172" t="s">
        <v>271</v>
      </c>
    </row>
    <row r="355" spans="1:8" x14ac:dyDescent="0.3">
      <c r="A355" s="173" t="s">
        <v>141</v>
      </c>
      <c r="B355" s="174" t="s">
        <v>33</v>
      </c>
      <c r="C355" s="174" t="s">
        <v>8</v>
      </c>
      <c r="D355" s="175"/>
      <c r="E355" s="175"/>
      <c r="F355" s="175"/>
      <c r="G355" s="176"/>
      <c r="H355" s="176"/>
    </row>
    <row r="356" spans="1:8" x14ac:dyDescent="0.3">
      <c r="A356" s="177" t="s">
        <v>272</v>
      </c>
      <c r="B356" s="178"/>
      <c r="C356" s="178"/>
      <c r="D356" s="178"/>
      <c r="E356" s="178"/>
      <c r="F356" s="178"/>
      <c r="G356" s="179"/>
      <c r="H356" s="179"/>
    </row>
    <row r="357" spans="1:8" x14ac:dyDescent="0.3">
      <c r="A357" s="180" t="s">
        <v>144</v>
      </c>
      <c r="B357" s="6">
        <v>530640.6</v>
      </c>
      <c r="C357" s="6">
        <v>173679.44</v>
      </c>
      <c r="D357" s="181"/>
      <c r="E357" s="181"/>
      <c r="F357" s="181"/>
      <c r="G357" s="182"/>
      <c r="H357" s="182"/>
    </row>
    <row r="358" spans="1:8" x14ac:dyDescent="0.3">
      <c r="A358" s="177" t="s">
        <v>273</v>
      </c>
      <c r="B358" s="178"/>
      <c r="C358" s="178"/>
      <c r="D358" s="178"/>
      <c r="E358" s="178"/>
      <c r="F358" s="178"/>
      <c r="G358" s="179"/>
      <c r="H358" s="179"/>
    </row>
    <row r="359" spans="1:8" x14ac:dyDescent="0.3">
      <c r="A359" s="180" t="s">
        <v>144</v>
      </c>
      <c r="B359" s="6">
        <v>627638.66</v>
      </c>
      <c r="C359" s="6">
        <v>1083202</v>
      </c>
      <c r="D359" s="181"/>
      <c r="E359" s="181"/>
      <c r="F359" s="181"/>
      <c r="G359" s="182"/>
      <c r="H359" s="182"/>
    </row>
    <row r="360" spans="1:8" x14ac:dyDescent="0.3">
      <c r="A360" s="177" t="s">
        <v>274</v>
      </c>
      <c r="B360" s="178"/>
      <c r="C360" s="178"/>
      <c r="D360" s="178"/>
      <c r="E360" s="178"/>
      <c r="F360" s="178"/>
      <c r="G360" s="179"/>
      <c r="H360" s="179"/>
    </row>
    <row r="361" spans="1:8" x14ac:dyDescent="0.3">
      <c r="A361" s="180" t="s">
        <v>144</v>
      </c>
      <c r="B361" s="6">
        <v>63099.27</v>
      </c>
      <c r="C361" s="6">
        <v>3226598.53</v>
      </c>
      <c r="D361" s="181"/>
      <c r="E361" s="181"/>
      <c r="F361" s="181"/>
      <c r="G361" s="182"/>
      <c r="H361" s="182"/>
    </row>
    <row r="362" spans="1:8" x14ac:dyDescent="0.3">
      <c r="A362" s="177" t="s">
        <v>275</v>
      </c>
      <c r="B362" s="178"/>
      <c r="C362" s="178"/>
      <c r="D362" s="178"/>
      <c r="E362" s="178"/>
      <c r="F362" s="178"/>
      <c r="G362" s="179"/>
      <c r="H362" s="179"/>
    </row>
    <row r="363" spans="1:8" x14ac:dyDescent="0.3">
      <c r="A363" s="185" t="s">
        <v>276</v>
      </c>
      <c r="B363" s="34"/>
      <c r="C363" s="34"/>
      <c r="D363" s="34"/>
      <c r="E363" s="34"/>
      <c r="F363" s="34"/>
      <c r="G363" s="186"/>
      <c r="H363" s="186"/>
    </row>
    <row r="364" spans="1:8" x14ac:dyDescent="0.3">
      <c r="A364" s="173" t="s">
        <v>141</v>
      </c>
      <c r="B364" s="174" t="s">
        <v>33</v>
      </c>
      <c r="C364" s="174" t="s">
        <v>8</v>
      </c>
      <c r="D364" s="175"/>
      <c r="E364" s="175"/>
      <c r="F364" s="175"/>
      <c r="G364" s="176"/>
      <c r="H364" s="176"/>
    </row>
    <row r="365" spans="1:8" x14ac:dyDescent="0.3">
      <c r="A365" s="177" t="s">
        <v>277</v>
      </c>
      <c r="B365" s="178"/>
      <c r="C365" s="178"/>
      <c r="D365" s="178"/>
      <c r="E365" s="178"/>
      <c r="F365" s="178"/>
      <c r="G365" s="179"/>
      <c r="H365" s="179"/>
    </row>
    <row r="366" spans="1:8" s="124" customFormat="1" x14ac:dyDescent="0.3">
      <c r="A366" s="180" t="s">
        <v>278</v>
      </c>
      <c r="B366" s="6">
        <v>286520450.81</v>
      </c>
      <c r="C366" s="6">
        <v>5496270.4000000004</v>
      </c>
      <c r="D366" s="181"/>
      <c r="E366" s="181"/>
      <c r="F366" s="181"/>
      <c r="G366" s="182"/>
      <c r="H366" s="182"/>
    </row>
    <row r="367" spans="1:8" s="124" customFormat="1" x14ac:dyDescent="0.3">
      <c r="A367" s="180" t="s">
        <v>143</v>
      </c>
      <c r="B367" s="6">
        <v>10558991.369999999</v>
      </c>
      <c r="C367" s="6">
        <v>26998319.780000001</v>
      </c>
      <c r="D367" s="181"/>
      <c r="E367" s="181"/>
      <c r="F367" s="181"/>
      <c r="G367" s="182"/>
      <c r="H367" s="182"/>
    </row>
    <row r="368" spans="1:8" x14ac:dyDescent="0.3">
      <c r="A368" s="180" t="s">
        <v>144</v>
      </c>
      <c r="B368" s="6">
        <v>17679197.309999999</v>
      </c>
      <c r="C368" s="6">
        <v>21833349.510000002</v>
      </c>
      <c r="D368" s="181"/>
      <c r="E368" s="181"/>
      <c r="F368" s="181"/>
      <c r="G368" s="182"/>
      <c r="H368" s="182"/>
    </row>
    <row r="369" spans="1:8" x14ac:dyDescent="0.3">
      <c r="A369" s="180" t="s">
        <v>145</v>
      </c>
      <c r="B369" s="6">
        <v>0</v>
      </c>
      <c r="C369" s="6">
        <v>0</v>
      </c>
      <c r="D369" s="181"/>
      <c r="E369" s="181"/>
      <c r="F369" s="181"/>
      <c r="G369" s="182"/>
      <c r="H369" s="182"/>
    </row>
    <row r="370" spans="1:8" s="124" customFormat="1" x14ac:dyDescent="0.3">
      <c r="A370" s="180" t="s">
        <v>147</v>
      </c>
      <c r="B370" s="6">
        <v>0</v>
      </c>
      <c r="C370" s="6">
        <v>0</v>
      </c>
      <c r="D370" s="181"/>
      <c r="E370" s="181"/>
      <c r="F370" s="181"/>
      <c r="G370" s="182"/>
      <c r="H370" s="182"/>
    </row>
    <row r="371" spans="1:8" s="124" customFormat="1" x14ac:dyDescent="0.3">
      <c r="A371" s="172" t="s">
        <v>279</v>
      </c>
      <c r="B371" s="14"/>
      <c r="C371" s="14"/>
      <c r="D371" s="14"/>
      <c r="E371" s="14"/>
      <c r="F371" s="14"/>
      <c r="G371" s="14"/>
      <c r="H371" s="14"/>
    </row>
    <row r="372" spans="1:8" s="124" customFormat="1" x14ac:dyDescent="0.3">
      <c r="A372" s="173" t="s">
        <v>141</v>
      </c>
      <c r="B372" s="174" t="s">
        <v>33</v>
      </c>
      <c r="C372" s="174" t="s">
        <v>8</v>
      </c>
      <c r="D372" s="175"/>
      <c r="E372" s="175"/>
      <c r="F372" s="175"/>
      <c r="G372" s="176"/>
      <c r="H372" s="176"/>
    </row>
    <row r="373" spans="1:8" x14ac:dyDescent="0.3">
      <c r="A373" s="177" t="s">
        <v>280</v>
      </c>
      <c r="B373" s="178"/>
      <c r="C373" s="178"/>
      <c r="D373" s="178"/>
      <c r="E373" s="178"/>
      <c r="F373" s="178"/>
      <c r="G373" s="179"/>
      <c r="H373" s="179"/>
    </row>
    <row r="374" spans="1:8" x14ac:dyDescent="0.3">
      <c r="A374" s="180" t="s">
        <v>145</v>
      </c>
      <c r="B374" s="6">
        <v>997614</v>
      </c>
      <c r="C374" s="6">
        <v>134037</v>
      </c>
      <c r="D374" s="181"/>
      <c r="E374" s="181"/>
      <c r="F374" s="181"/>
      <c r="G374" s="182"/>
      <c r="H374" s="182"/>
    </row>
    <row r="375" spans="1:8" x14ac:dyDescent="0.3">
      <c r="A375" s="172" t="s">
        <v>281</v>
      </c>
    </row>
    <row r="376" spans="1:8" s="124" customFormat="1" x14ac:dyDescent="0.3">
      <c r="A376" s="173" t="s">
        <v>141</v>
      </c>
      <c r="B376" s="174" t="s">
        <v>33</v>
      </c>
      <c r="C376" s="174" t="s">
        <v>8</v>
      </c>
      <c r="D376" s="175"/>
      <c r="E376" s="175"/>
      <c r="F376" s="175"/>
      <c r="G376" s="176"/>
      <c r="H376" s="176"/>
    </row>
    <row r="377" spans="1:8" s="124" customFormat="1" x14ac:dyDescent="0.3">
      <c r="A377" s="177" t="s">
        <v>282</v>
      </c>
      <c r="B377" s="178"/>
      <c r="C377" s="178"/>
      <c r="D377" s="178"/>
      <c r="E377" s="178"/>
      <c r="F377" s="178"/>
      <c r="G377" s="179"/>
      <c r="H377" s="179"/>
    </row>
    <row r="378" spans="1:8" x14ac:dyDescent="0.3">
      <c r="A378" s="180" t="s">
        <v>143</v>
      </c>
      <c r="B378" s="6">
        <v>0</v>
      </c>
      <c r="C378" s="6">
        <v>0</v>
      </c>
      <c r="D378" s="181"/>
      <c r="E378" s="181"/>
      <c r="F378" s="181"/>
      <c r="G378" s="182"/>
      <c r="H378" s="182"/>
    </row>
    <row r="379" spans="1:8" s="124" customFormat="1" x14ac:dyDescent="0.3">
      <c r="A379" s="180" t="s">
        <v>144</v>
      </c>
      <c r="B379" s="6">
        <v>0</v>
      </c>
      <c r="C379" s="6">
        <v>40000</v>
      </c>
      <c r="D379" s="181"/>
      <c r="E379" s="181"/>
      <c r="F379" s="181"/>
      <c r="G379" s="182"/>
      <c r="H379" s="182"/>
    </row>
    <row r="380" spans="1:8" x14ac:dyDescent="0.3">
      <c r="A380" s="180" t="s">
        <v>145</v>
      </c>
      <c r="B380" s="6">
        <v>0</v>
      </c>
      <c r="C380" s="6">
        <v>811110</v>
      </c>
      <c r="D380" s="181"/>
      <c r="E380" s="181"/>
      <c r="F380" s="181"/>
      <c r="G380" s="182"/>
      <c r="H380" s="182"/>
    </row>
    <row r="381" spans="1:8" x14ac:dyDescent="0.3">
      <c r="A381" s="180" t="s">
        <v>283</v>
      </c>
      <c r="B381" s="6">
        <v>62353</v>
      </c>
      <c r="C381" s="6">
        <v>0</v>
      </c>
      <c r="D381" s="181"/>
      <c r="E381" s="181"/>
      <c r="F381" s="181"/>
      <c r="G381" s="182"/>
      <c r="H381" s="182"/>
    </row>
    <row r="385" spans="1:9" x14ac:dyDescent="0.3">
      <c r="A385" s="187" t="s">
        <v>293</v>
      </c>
      <c r="I385" s="29" t="s">
        <v>10</v>
      </c>
    </row>
    <row r="386" spans="1:9" ht="18" customHeight="1" x14ac:dyDescent="0.3">
      <c r="A386" s="188" t="s">
        <v>29</v>
      </c>
      <c r="B386" s="188" t="s">
        <v>1</v>
      </c>
      <c r="C386" s="188" t="s">
        <v>2</v>
      </c>
      <c r="D386" s="188" t="s">
        <v>4</v>
      </c>
      <c r="E386" s="188" t="s">
        <v>5</v>
      </c>
      <c r="F386" s="188" t="s">
        <v>6</v>
      </c>
      <c r="G386" s="188" t="s">
        <v>42</v>
      </c>
      <c r="H386" s="188" t="s">
        <v>43</v>
      </c>
      <c r="I386" s="188" t="s">
        <v>11</v>
      </c>
    </row>
    <row r="387" spans="1:9" s="190" customFormat="1" ht="18" customHeight="1" x14ac:dyDescent="0.2">
      <c r="A387" s="189" t="s">
        <v>323</v>
      </c>
      <c r="B387" s="48">
        <f>SUM(B12,B15,B19,B25,B28,B32,B36,B38)</f>
        <v>2155510.2000000002</v>
      </c>
      <c r="C387" s="48">
        <f>SUM(C12,C15,C19,C25,C28,C32,C36,C38)</f>
        <v>1032261</v>
      </c>
      <c r="D387" s="48">
        <v>0</v>
      </c>
      <c r="E387" s="48">
        <v>0</v>
      </c>
      <c r="F387" s="48">
        <f>SUM(B387:E387)</f>
        <v>3187771.2</v>
      </c>
      <c r="G387" s="48">
        <f>ftes!K4</f>
        <v>1233.0899999999999</v>
      </c>
      <c r="H387" s="148" t="s">
        <v>44</v>
      </c>
      <c r="I387" s="48">
        <f>SUM(F387/G387)</f>
        <v>2585.1894022334141</v>
      </c>
    </row>
    <row r="388" spans="1:9" s="190" customFormat="1" ht="18" customHeight="1" x14ac:dyDescent="0.2">
      <c r="A388" s="189" t="s">
        <v>324</v>
      </c>
      <c r="B388" s="48">
        <f>SUM(B335,B348)</f>
        <v>0</v>
      </c>
      <c r="C388" s="48">
        <f>SUM(C335,C348)</f>
        <v>3498726.21</v>
      </c>
      <c r="D388" s="48">
        <v>0</v>
      </c>
      <c r="E388" s="48">
        <v>0</v>
      </c>
      <c r="F388" s="48">
        <f>SUM(B388:E388)</f>
        <v>3498726.21</v>
      </c>
      <c r="G388" s="48">
        <f>ftes!L4</f>
        <v>25.63</v>
      </c>
      <c r="H388" s="148" t="s">
        <v>44</v>
      </c>
      <c r="I388" s="48">
        <f t="shared" ref="I388:I396" si="0">SUM(F388/G388)</f>
        <v>136509.0210690597</v>
      </c>
    </row>
    <row r="389" spans="1:9" s="190" customFormat="1" ht="18" customHeight="1" x14ac:dyDescent="0.2">
      <c r="A389" s="191" t="s">
        <v>331</v>
      </c>
      <c r="B389" s="11">
        <f>SUM(B52,B54,B56,B58,B59,B61,B63,B65,B67,B68,B71,B72,B74,B75,B77,B78)</f>
        <v>1941012.3199999998</v>
      </c>
      <c r="C389" s="11">
        <f>SUM(C52,C54,C56,C58,C59,C61,C63,C65,C67,C68,C71,C72,C74,C75,C77,C78)</f>
        <v>903962.62</v>
      </c>
      <c r="D389" s="11">
        <v>0</v>
      </c>
      <c r="E389" s="11">
        <v>0</v>
      </c>
      <c r="F389" s="11">
        <f>SUM(B389:E389)</f>
        <v>2844974.94</v>
      </c>
      <c r="G389" s="11">
        <f>ftes!K5</f>
        <v>591.70000000000005</v>
      </c>
      <c r="H389" s="161" t="s">
        <v>44</v>
      </c>
      <c r="I389" s="11">
        <f t="shared" si="0"/>
        <v>4808.1374683116437</v>
      </c>
    </row>
    <row r="390" spans="1:9" s="190" customFormat="1" ht="18" customHeight="1" x14ac:dyDescent="0.2">
      <c r="A390" s="191" t="s">
        <v>332</v>
      </c>
      <c r="B390" s="11">
        <f>SUM(B80)</f>
        <v>70766.7</v>
      </c>
      <c r="C390" s="11">
        <f>SUM(C80)</f>
        <v>37868</v>
      </c>
      <c r="D390" s="11">
        <v>0</v>
      </c>
      <c r="E390" s="11">
        <v>0</v>
      </c>
      <c r="F390" s="11">
        <f>SUM(B390:E390)</f>
        <v>108634.7</v>
      </c>
      <c r="G390" s="11">
        <f>ftes!L5</f>
        <v>1</v>
      </c>
      <c r="H390" s="161" t="s">
        <v>44</v>
      </c>
      <c r="I390" s="11">
        <f t="shared" si="0"/>
        <v>108634.7</v>
      </c>
    </row>
    <row r="391" spans="1:9" s="190" customFormat="1" ht="18" customHeight="1" x14ac:dyDescent="0.2">
      <c r="A391" s="189" t="s">
        <v>284</v>
      </c>
      <c r="B391" s="48">
        <f>SUM(B84,B91,B94,B97,B100,B103,B106,B109,B112,B115,B118,B121,B124)</f>
        <v>2925898.71</v>
      </c>
      <c r="C391" s="48">
        <f>SUM(C84,C91,C94,C97,C100,C103,C106,C109,C112,C115,C118,C121,C124)</f>
        <v>2198026.81</v>
      </c>
      <c r="D391" s="48">
        <v>0</v>
      </c>
      <c r="E391" s="48">
        <v>0</v>
      </c>
      <c r="F391" s="48">
        <f t="shared" ref="F391:F398" si="1">SUM(B391:E391)</f>
        <v>5123925.5199999996</v>
      </c>
      <c r="G391" s="48">
        <f>ftes!K6</f>
        <v>1537.05</v>
      </c>
      <c r="H391" s="148" t="s">
        <v>44</v>
      </c>
      <c r="I391" s="48">
        <f t="shared" si="0"/>
        <v>3333.6101753358703</v>
      </c>
    </row>
    <row r="392" spans="1:9" s="190" customFormat="1" ht="18" customHeight="1" x14ac:dyDescent="0.2">
      <c r="A392" s="189" t="s">
        <v>285</v>
      </c>
      <c r="B392" s="48">
        <f>SUM(B338)</f>
        <v>0</v>
      </c>
      <c r="C392" s="48">
        <f>SUM(C338)</f>
        <v>43655</v>
      </c>
      <c r="D392" s="48">
        <v>0</v>
      </c>
      <c r="E392" s="48">
        <v>0</v>
      </c>
      <c r="F392" s="48">
        <f t="shared" si="1"/>
        <v>43655</v>
      </c>
      <c r="G392" s="48">
        <f>ftes!L6</f>
        <v>2.63</v>
      </c>
      <c r="H392" s="148" t="s">
        <v>44</v>
      </c>
      <c r="I392" s="48">
        <f t="shared" si="0"/>
        <v>16598.859315589354</v>
      </c>
    </row>
    <row r="393" spans="1:9" s="190" customFormat="1" ht="18" customHeight="1" x14ac:dyDescent="0.2">
      <c r="A393" s="189" t="s">
        <v>286</v>
      </c>
      <c r="B393" s="48">
        <f>SUM(B351)</f>
        <v>0</v>
      </c>
      <c r="C393" s="48">
        <f>SUM(C351)</f>
        <v>696114</v>
      </c>
      <c r="D393" s="48">
        <v>0</v>
      </c>
      <c r="E393" s="48">
        <v>0</v>
      </c>
      <c r="F393" s="48">
        <f t="shared" si="1"/>
        <v>696114</v>
      </c>
      <c r="G393" s="48">
        <f>ftes!M6</f>
        <v>4.88</v>
      </c>
      <c r="H393" s="148" t="s">
        <v>44</v>
      </c>
      <c r="I393" s="48">
        <f t="shared" si="0"/>
        <v>142646.31147540984</v>
      </c>
    </row>
    <row r="394" spans="1:9" s="190" customFormat="1" ht="18" customHeight="1" x14ac:dyDescent="0.2">
      <c r="A394" s="191" t="s">
        <v>339</v>
      </c>
      <c r="B394" s="11">
        <f>SUM(B135,B139,B143,B147,B151,B155,B159,B163,B167)</f>
        <v>622152</v>
      </c>
      <c r="C394" s="11">
        <f>SUM(C135,C139,C143,C147,C151,C155,C159,C163,C167)</f>
        <v>368369</v>
      </c>
      <c r="D394" s="11">
        <v>0</v>
      </c>
      <c r="E394" s="11">
        <v>0</v>
      </c>
      <c r="F394" s="11">
        <f t="shared" si="1"/>
        <v>990521</v>
      </c>
      <c r="G394" s="11">
        <f>ftes!K7</f>
        <v>705.83</v>
      </c>
      <c r="H394" s="161" t="s">
        <v>44</v>
      </c>
      <c r="I394" s="11">
        <f t="shared" si="0"/>
        <v>1403.3421645438702</v>
      </c>
    </row>
    <row r="395" spans="1:9" s="190" customFormat="1" ht="18" customHeight="1" x14ac:dyDescent="0.2">
      <c r="A395" s="191" t="s">
        <v>340</v>
      </c>
      <c r="B395" s="11">
        <f>SUM(B340)</f>
        <v>0</v>
      </c>
      <c r="C395" s="11">
        <f>SUM(C340)</f>
        <v>901886</v>
      </c>
      <c r="D395" s="11">
        <v>0</v>
      </c>
      <c r="E395" s="11">
        <v>0</v>
      </c>
      <c r="F395" s="11">
        <f t="shared" si="1"/>
        <v>901886</v>
      </c>
      <c r="G395" s="11">
        <f>ftes!L7</f>
        <v>19.13</v>
      </c>
      <c r="H395" s="161" t="s">
        <v>44</v>
      </c>
      <c r="I395" s="11">
        <f t="shared" si="0"/>
        <v>47145.112388917929</v>
      </c>
    </row>
    <row r="396" spans="1:9" s="190" customFormat="1" ht="18" customHeight="1" x14ac:dyDescent="0.2">
      <c r="A396" s="191" t="s">
        <v>341</v>
      </c>
      <c r="B396" s="11">
        <f>SUM(B342)</f>
        <v>0</v>
      </c>
      <c r="C396" s="11">
        <f>SUM(C342)</f>
        <v>1593120.36</v>
      </c>
      <c r="D396" s="11">
        <v>0</v>
      </c>
      <c r="E396" s="11">
        <v>0</v>
      </c>
      <c r="F396" s="11">
        <f t="shared" si="1"/>
        <v>1593120.36</v>
      </c>
      <c r="G396" s="11">
        <f>ftes!M7</f>
        <v>3.88</v>
      </c>
      <c r="H396" s="161" t="s">
        <v>44</v>
      </c>
      <c r="I396" s="11">
        <f t="shared" si="0"/>
        <v>410598.03092783509</v>
      </c>
    </row>
    <row r="397" spans="1:9" s="190" customFormat="1" ht="18" customHeight="1" x14ac:dyDescent="0.2">
      <c r="A397" s="189" t="s">
        <v>348</v>
      </c>
      <c r="B397" s="48">
        <f>SUM(B185,B189,B193,B196,B200,B203,B206,B210,B214,B219)</f>
        <v>607490.19999999995</v>
      </c>
      <c r="C397" s="48">
        <f>SUM(C185,C189,C193,C196,C200,C203,C206,C210,C214,C219)</f>
        <v>846622.01</v>
      </c>
      <c r="D397" s="48">
        <v>0</v>
      </c>
      <c r="E397" s="48">
        <v>0</v>
      </c>
      <c r="F397" s="48">
        <f t="shared" si="1"/>
        <v>1454112.21</v>
      </c>
      <c r="G397" s="48">
        <f>ftes!K8</f>
        <v>322.76</v>
      </c>
      <c r="H397" s="148" t="s">
        <v>44</v>
      </c>
      <c r="I397" s="48">
        <f t="shared" ref="I397:I401" si="2">SUM(F397/G397)</f>
        <v>4505.2429359276239</v>
      </c>
    </row>
    <row r="398" spans="1:9" s="190" customFormat="1" ht="18" customHeight="1" x14ac:dyDescent="0.2">
      <c r="A398" s="191" t="s">
        <v>336</v>
      </c>
      <c r="B398" s="11">
        <f>SUM(B229,B231)</f>
        <v>50094.400000000001</v>
      </c>
      <c r="C398" s="11">
        <f>SUM(C229,C231)</f>
        <v>64027</v>
      </c>
      <c r="D398" s="11">
        <v>0</v>
      </c>
      <c r="E398" s="11">
        <v>0</v>
      </c>
      <c r="F398" s="11">
        <f t="shared" si="1"/>
        <v>114121.4</v>
      </c>
      <c r="G398" s="11">
        <f>ftes!K9</f>
        <v>51.34</v>
      </c>
      <c r="H398" s="161" t="s">
        <v>44</v>
      </c>
      <c r="I398" s="11">
        <f t="shared" si="2"/>
        <v>2222.8554733151536</v>
      </c>
    </row>
    <row r="399" spans="1:9" s="190" customFormat="1" ht="18" customHeight="1" x14ac:dyDescent="0.2">
      <c r="A399" s="189" t="s">
        <v>287</v>
      </c>
      <c r="B399" s="48">
        <f>SUM(B6,B13,B16,B20,B23,B26,B29,B33,B39,B45,B85,B92,B95,B98,B101,B104,B107,B110,B113,B116,B119,B122,B125,B130,B136,B140,B144,B148,B152,B156,B160,B164,B168,B175,B181,B186,B190,B194,B197,B201,B204,B207,B211,B215,B220,B226,B233,B238,B241,B246,B256,B264,B267,B282,B287,B328,B369,B374,B380)</f>
        <v>10608141.77</v>
      </c>
      <c r="C399" s="48">
        <f>SUM(C6,C13,C16,C20,C23,C26,C29,C33,C39,C45,C85,C92,C95,C98,C101,C104,C107,C110,C113,C116,C119,C122,C125,C130,C136,C140,C144,C148,C152,C156,C160,C164,C168,C175,C181,C186,C190,C194,C197,C201,C204,C207,C211,C215,C220,C226,C233,C238,C241,C246,C256,C264,C267,C282,C287,C328,C369,C374,C380)</f>
        <v>1217467.96</v>
      </c>
      <c r="D399" s="48">
        <v>0</v>
      </c>
      <c r="E399" s="48">
        <v>0</v>
      </c>
      <c r="F399" s="48">
        <f t="shared" ref="F399:F400" si="3">SUM(B399:E399)</f>
        <v>11825609.73</v>
      </c>
      <c r="G399" s="48">
        <v>196</v>
      </c>
      <c r="H399" s="149" t="s">
        <v>315</v>
      </c>
      <c r="I399" s="48">
        <f t="shared" si="2"/>
        <v>60334.743520408163</v>
      </c>
    </row>
    <row r="400" spans="1:9" s="190" customFormat="1" ht="18" customHeight="1" x14ac:dyDescent="0.2">
      <c r="A400" s="189" t="s">
        <v>288</v>
      </c>
      <c r="B400" s="48">
        <f>SUM(B8,B47,B48,B49,B87,B88,B131,B132,B183,B191,B198,B208,B212,B216,B217,B253,B343,B346,B370)</f>
        <v>12105020</v>
      </c>
      <c r="C400" s="48">
        <f>SUM(C8,C47,C48,C49,C87,C88,C131,C132,C183,C191,C198,C208,C212,C216,C217,C253,C343,C346,C370)</f>
        <v>2444782.23</v>
      </c>
      <c r="D400" s="48">
        <v>0</v>
      </c>
      <c r="E400" s="48">
        <v>0</v>
      </c>
      <c r="F400" s="48">
        <f t="shared" si="3"/>
        <v>14549802.23</v>
      </c>
      <c r="G400" s="48">
        <v>89</v>
      </c>
      <c r="H400" s="149" t="s">
        <v>45</v>
      </c>
      <c r="I400" s="48">
        <f t="shared" si="2"/>
        <v>163480.92393258426</v>
      </c>
    </row>
    <row r="401" spans="1:9" s="190" customFormat="1" ht="18" customHeight="1" x14ac:dyDescent="0.2">
      <c r="A401" s="189" t="s">
        <v>289</v>
      </c>
      <c r="B401" s="48">
        <f>SUM(B7,B17,B21,B30,B34,B40,B46,B69,B86,B137,B141,B145,B149,B153,B157,B161,B165,B169,B172,B176,B182,B227,B262,B265,B268,B349)</f>
        <v>1921389</v>
      </c>
      <c r="C401" s="48">
        <f>SUM(C7,C17,C21,C30,C34,C40,C46,C69,C86,C137,C141,C145,C149,C153,C157,C161,C165,C169,C172,C176,C182,C227,C262,C265,C268,C349)</f>
        <v>509294</v>
      </c>
      <c r="D401" s="48">
        <v>0</v>
      </c>
      <c r="E401" s="48">
        <v>0</v>
      </c>
      <c r="F401" s="48">
        <f>SUM(B401:E401)</f>
        <v>2430683</v>
      </c>
      <c r="G401" s="48">
        <v>61</v>
      </c>
      <c r="H401" s="149" t="s">
        <v>315</v>
      </c>
      <c r="I401" s="48">
        <f t="shared" si="2"/>
        <v>39847.262295081964</v>
      </c>
    </row>
    <row r="402" spans="1:9" s="190" customFormat="1" ht="18" customHeight="1" x14ac:dyDescent="0.2">
      <c r="A402" s="189" t="s">
        <v>290</v>
      </c>
      <c r="B402" s="48">
        <f>SUM('t2'!B9)-SUM(B387:B401)-58722817.68</f>
        <v>336209099.75999999</v>
      </c>
      <c r="C402" s="48">
        <f>SUM('t2'!C9)-SUM(C387:C401)-371368.07</f>
        <v>72415724.129999995</v>
      </c>
      <c r="D402" s="164">
        <v>5042300.47</v>
      </c>
      <c r="E402" s="164">
        <v>59094185.75</v>
      </c>
      <c r="F402" s="48">
        <f>SUM(B402:E402)</f>
        <v>472761310.11000001</v>
      </c>
      <c r="G402" s="48">
        <f>SUM(G387:G398)</f>
        <v>4498.920000000001</v>
      </c>
      <c r="H402" s="148" t="s">
        <v>44</v>
      </c>
      <c r="I402" s="48">
        <f>SUM(F402/G402)</f>
        <v>105083.28890266996</v>
      </c>
    </row>
    <row r="403" spans="1:9" ht="18" customHeight="1" x14ac:dyDescent="0.3">
      <c r="A403" s="192" t="s">
        <v>3</v>
      </c>
      <c r="B403" s="150">
        <f>SUM(B387:B402)</f>
        <v>369216575.06</v>
      </c>
      <c r="C403" s="150">
        <f>SUM(C387:C402)</f>
        <v>88771906.329999998</v>
      </c>
      <c r="D403" s="151">
        <f>SUM(D387:D402)</f>
        <v>5042300.47</v>
      </c>
      <c r="E403" s="151">
        <f>SUM(E387:E402)</f>
        <v>59094185.75</v>
      </c>
      <c r="F403" s="151">
        <f>SUM(F387:F402)</f>
        <v>522124967.61000001</v>
      </c>
      <c r="G403" s="151"/>
      <c r="H403" s="151"/>
      <c r="I403" s="151"/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view="pageBreakPreview" zoomScaleSheetLayoutView="100" workbookViewId="0">
      <selection activeCell="I4" sqref="I4"/>
    </sheetView>
  </sheetViews>
  <sheetFormatPr defaultColWidth="17.75" defaultRowHeight="19.5" customHeight="1" x14ac:dyDescent="0.3"/>
  <cols>
    <col min="1" max="1" width="41.375" style="3" customWidth="1"/>
    <col min="2" max="2" width="14.75" style="13" bestFit="1" customWidth="1"/>
    <col min="3" max="6" width="12.875" style="13" customWidth="1"/>
    <col min="7" max="7" width="7.625" style="13" customWidth="1"/>
    <col min="8" max="8" width="10.125" style="13" bestFit="1" customWidth="1"/>
    <col min="9" max="9" width="10.75" style="13" bestFit="1" customWidth="1"/>
    <col min="10" max="10" width="21" style="3" customWidth="1"/>
    <col min="11" max="16384" width="17.75" style="3"/>
  </cols>
  <sheetData>
    <row r="1" spans="1:11" ht="19.5" customHeight="1" x14ac:dyDescent="0.3">
      <c r="A1" s="8" t="s">
        <v>7</v>
      </c>
      <c r="I1" s="20" t="s">
        <v>10</v>
      </c>
    </row>
    <row r="2" spans="1:11" ht="37.5" x14ac:dyDescent="0.25">
      <c r="A2" s="64" t="s">
        <v>30</v>
      </c>
      <c r="B2" s="64" t="s">
        <v>1</v>
      </c>
      <c r="C2" s="64" t="s">
        <v>2</v>
      </c>
      <c r="D2" s="64" t="s">
        <v>4</v>
      </c>
      <c r="E2" s="64" t="s">
        <v>5</v>
      </c>
      <c r="F2" s="64" t="s">
        <v>6</v>
      </c>
      <c r="G2" s="64" t="s">
        <v>42</v>
      </c>
      <c r="H2" s="64" t="s">
        <v>43</v>
      </c>
      <c r="I2" s="64" t="s">
        <v>11</v>
      </c>
    </row>
    <row r="3" spans="1:11" ht="19.5" customHeight="1" x14ac:dyDescent="0.3">
      <c r="A3" s="61" t="s">
        <v>31</v>
      </c>
      <c r="B3" s="67"/>
      <c r="C3" s="62"/>
      <c r="D3" s="63"/>
      <c r="E3" s="63"/>
      <c r="F3" s="62"/>
      <c r="G3" s="63"/>
      <c r="H3" s="63"/>
      <c r="I3" s="63"/>
    </row>
    <row r="4" spans="1:11" ht="19.5" customHeight="1" x14ac:dyDescent="0.3">
      <c r="A4" s="21" t="s">
        <v>325</v>
      </c>
      <c r="B4" s="34">
        <f>'t3'!B387+G4/4498.92*336209099.76</f>
        <v>94305643.748286784</v>
      </c>
      <c r="C4" s="71">
        <f>'t3'!C387+G4/4498.92*72415724.13</f>
        <v>20880381.274968591</v>
      </c>
      <c r="D4" s="22">
        <f>G4/4498.92*5042300.47</f>
        <v>1382022.860275866</v>
      </c>
      <c r="E4" s="22">
        <f t="shared" ref="E4:E9" si="0">G4/4498.92*59094185.75</f>
        <v>16196876.029462071</v>
      </c>
      <c r="F4" s="22">
        <f>SUM(B4:E4)</f>
        <v>132764923.91299331</v>
      </c>
      <c r="G4" s="22">
        <f>'t3'!G387</f>
        <v>1233.0899999999999</v>
      </c>
      <c r="H4" s="152" t="s">
        <v>44</v>
      </c>
      <c r="I4" s="22">
        <f>SUM(F4/G4)</f>
        <v>107668.47830490339</v>
      </c>
      <c r="J4" s="194"/>
      <c r="K4" s="166"/>
    </row>
    <row r="5" spans="1:11" ht="19.5" customHeight="1" x14ac:dyDescent="0.3">
      <c r="A5" s="21" t="s">
        <v>333</v>
      </c>
      <c r="B5" s="34">
        <f>'t3'!B389+G5/4498.92*336209099.76</f>
        <v>46159385.691385135</v>
      </c>
      <c r="C5" s="34">
        <f>'t3'!C389+G5/4498.92*72415724.13</f>
        <v>10428111.519673921</v>
      </c>
      <c r="D5" s="22">
        <f t="shared" ref="D5:D9" si="1">G5/4498.92*5042300.47</f>
        <v>663165.64599926199</v>
      </c>
      <c r="E5" s="171">
        <f t="shared" si="0"/>
        <v>7772094.1266515078</v>
      </c>
      <c r="F5" s="22">
        <f t="shared" ref="F5:F17" si="2">SUM(B5:E5)</f>
        <v>65022756.983709827</v>
      </c>
      <c r="G5" s="22">
        <f>'t3'!G389</f>
        <v>591.70000000000005</v>
      </c>
      <c r="H5" s="152" t="s">
        <v>44</v>
      </c>
      <c r="I5" s="22">
        <f t="shared" ref="I5:I20" si="3">SUM(F5/G5)</f>
        <v>109891.42637098162</v>
      </c>
      <c r="J5" s="194"/>
      <c r="K5" s="166"/>
    </row>
    <row r="6" spans="1:11" ht="19.5" customHeight="1" x14ac:dyDescent="0.3">
      <c r="A6" s="21" t="s">
        <v>32</v>
      </c>
      <c r="B6" s="34">
        <f>'t3'!B391+G6/4498.92*336209099.76</f>
        <v>117791287.91143234</v>
      </c>
      <c r="C6" s="34">
        <f>'t3'!C391+G6/4498.92*72415724.13</f>
        <v>26938762.091804631</v>
      </c>
      <c r="D6" s="22">
        <f>G6/4498.92*5042300.47</f>
        <v>1722695.2107202394</v>
      </c>
      <c r="E6" s="22">
        <f t="shared" si="0"/>
        <v>20189449.513891667</v>
      </c>
      <c r="F6" s="22">
        <f t="shared" si="2"/>
        <v>166642194.72784889</v>
      </c>
      <c r="G6" s="22">
        <f>'t3'!G391</f>
        <v>1537.05</v>
      </c>
      <c r="H6" s="152" t="s">
        <v>44</v>
      </c>
      <c r="I6" s="22">
        <f t="shared" si="3"/>
        <v>108416.89907800585</v>
      </c>
      <c r="J6" s="194"/>
      <c r="K6" s="166"/>
    </row>
    <row r="7" spans="1:11" ht="19.5" customHeight="1" x14ac:dyDescent="0.3">
      <c r="A7" s="21" t="s">
        <v>342</v>
      </c>
      <c r="B7" s="34">
        <f>'t3'!B394+G7/4498.92*336209099.76</f>
        <v>53369582.246281505</v>
      </c>
      <c r="C7" s="34">
        <f>'t3'!C394+G7/4498.92*72415724.13</f>
        <v>11729582.482942106</v>
      </c>
      <c r="D7" s="22">
        <f t="shared" si="1"/>
        <v>791080.29054530861</v>
      </c>
      <c r="E7" s="22">
        <f t="shared" si="0"/>
        <v>9271213.786402626</v>
      </c>
      <c r="F7" s="22">
        <f t="shared" si="2"/>
        <v>75161458.806171536</v>
      </c>
      <c r="G7" s="22">
        <f>'t3'!G394</f>
        <v>705.83</v>
      </c>
      <c r="H7" s="152" t="s">
        <v>44</v>
      </c>
      <c r="I7" s="22">
        <f t="shared" si="3"/>
        <v>106486.63106721382</v>
      </c>
      <c r="J7" s="194"/>
      <c r="K7" s="166"/>
    </row>
    <row r="8" spans="1:11" ht="19.5" customHeight="1" x14ac:dyDescent="0.25">
      <c r="A8" s="21" t="s">
        <v>347</v>
      </c>
      <c r="B8" s="22">
        <f>'t3'!B397+G8/4498.92*336209099.76</f>
        <v>24727689.945391688</v>
      </c>
      <c r="C8" s="22">
        <f>'t3'!C397+G8/4498.92*72415724.13</f>
        <v>6041846.4461310701</v>
      </c>
      <c r="D8" s="22">
        <f t="shared" si="1"/>
        <v>361743.01825709274</v>
      </c>
      <c r="E8" s="22">
        <f t="shared" si="0"/>
        <v>4239515.1264459025</v>
      </c>
      <c r="F8" s="22">
        <f t="shared" si="2"/>
        <v>35370794.536225751</v>
      </c>
      <c r="G8" s="22">
        <f>'t3'!G397</f>
        <v>322.76</v>
      </c>
      <c r="H8" s="152" t="s">
        <v>44</v>
      </c>
      <c r="I8" s="22">
        <f t="shared" si="3"/>
        <v>109588.53183859757</v>
      </c>
      <c r="J8" s="194"/>
      <c r="K8" s="166"/>
    </row>
    <row r="9" spans="1:11" ht="19.5" customHeight="1" x14ac:dyDescent="0.3">
      <c r="A9" s="21" t="s">
        <v>337</v>
      </c>
      <c r="B9" s="34">
        <f>'t3'!B398+G9/4498.92*336209099.76</f>
        <v>3886787.4689317434</v>
      </c>
      <c r="C9" s="34">
        <f>'t3'!C398+G9/4498.92*72415724.13</f>
        <v>890408.28191525955</v>
      </c>
      <c r="D9" s="22">
        <f t="shared" si="1"/>
        <v>57540.855611969091</v>
      </c>
      <c r="E9" s="22">
        <f t="shared" si="0"/>
        <v>674360.84580410412</v>
      </c>
      <c r="F9" s="22">
        <f t="shared" si="2"/>
        <v>5509097.4522630759</v>
      </c>
      <c r="G9" s="22">
        <f>'t3'!G398</f>
        <v>51.34</v>
      </c>
      <c r="H9" s="152" t="s">
        <v>44</v>
      </c>
      <c r="I9" s="22">
        <f t="shared" si="3"/>
        <v>107306.14437598511</v>
      </c>
      <c r="J9" s="194"/>
      <c r="K9" s="166"/>
    </row>
    <row r="10" spans="1:11" ht="19.5" customHeight="1" x14ac:dyDescent="0.3">
      <c r="A10" s="67" t="s">
        <v>97</v>
      </c>
      <c r="B10" s="69"/>
      <c r="C10" s="62"/>
      <c r="D10" s="62"/>
      <c r="E10" s="62"/>
      <c r="F10" s="62"/>
      <c r="G10" s="62"/>
      <c r="H10" s="153"/>
      <c r="I10" s="62"/>
      <c r="J10" s="194"/>
      <c r="K10" s="166"/>
    </row>
    <row r="11" spans="1:11" ht="19.5" customHeight="1" x14ac:dyDescent="0.3">
      <c r="A11" s="21" t="s">
        <v>326</v>
      </c>
      <c r="B11" s="34">
        <f>'t3'!B388+G11/4498.92*336209099.76</f>
        <v>1915357.2917164117</v>
      </c>
      <c r="C11" s="34">
        <f>'t3'!C388+G11/4498.92*72415724.13</f>
        <v>3911273.0011080657</v>
      </c>
      <c r="D11" s="22">
        <f>G11/4498.92*5042300.47</f>
        <v>28725.596597872376</v>
      </c>
      <c r="E11" s="22">
        <f>G11/4498.92*59094185.75</f>
        <v>336655.01515308116</v>
      </c>
      <c r="F11" s="22">
        <f t="shared" si="2"/>
        <v>6192010.9045754308</v>
      </c>
      <c r="G11" s="22">
        <f>'t3'!G388</f>
        <v>25.63</v>
      </c>
      <c r="H11" s="152" t="s">
        <v>44</v>
      </c>
      <c r="I11" s="22">
        <f t="shared" si="3"/>
        <v>241592.30997172964</v>
      </c>
      <c r="J11" s="194"/>
      <c r="K11" s="166"/>
    </row>
    <row r="12" spans="1:11" ht="19.5" customHeight="1" x14ac:dyDescent="0.3">
      <c r="A12" s="21" t="s">
        <v>334</v>
      </c>
      <c r="B12" s="34">
        <f>'t3'!B390+G12/4498.92*336209099.76</f>
        <v>145497.76873649674</v>
      </c>
      <c r="C12" s="34">
        <f>'t3'!C390+G12/4498.92*72415724.13</f>
        <v>53964.246239097381</v>
      </c>
      <c r="D12" s="22">
        <f>G12/4498.92*5042300.47</f>
        <v>1120.7802028042283</v>
      </c>
      <c r="E12" s="22">
        <f>G12/4498.92*59094185.75</f>
        <v>13135.193724271601</v>
      </c>
      <c r="F12" s="22">
        <f t="shared" si="2"/>
        <v>213717.98890266995</v>
      </c>
      <c r="G12" s="22">
        <f>'t3'!G390</f>
        <v>1</v>
      </c>
      <c r="H12" s="152" t="s">
        <v>44</v>
      </c>
      <c r="I12" s="22">
        <f t="shared" si="3"/>
        <v>213717.98890266995</v>
      </c>
      <c r="J12" s="194"/>
      <c r="K12" s="166"/>
    </row>
    <row r="13" spans="1:11" ht="19.5" customHeight="1" x14ac:dyDescent="0.3">
      <c r="A13" s="21" t="s">
        <v>100</v>
      </c>
      <c r="B13" s="34">
        <f>'t3'!B392+G13/4498.92*336209099.76</f>
        <v>196542.71077698644</v>
      </c>
      <c r="C13" s="34">
        <f>'t3'!C392+G13/4498.92*72415724.13</f>
        <v>85988.127608826107</v>
      </c>
      <c r="D13" s="22">
        <f>G13/4498.92*5042300.47</f>
        <v>2947.6519333751207</v>
      </c>
      <c r="E13" s="22">
        <f>G13/4498.92*59094185.75</f>
        <v>34545.559494834313</v>
      </c>
      <c r="F13" s="22">
        <f t="shared" si="2"/>
        <v>320024.04981402197</v>
      </c>
      <c r="G13" s="22">
        <f>'t3'!G392</f>
        <v>2.63</v>
      </c>
      <c r="H13" s="152" t="s">
        <v>44</v>
      </c>
      <c r="I13" s="22">
        <f t="shared" si="3"/>
        <v>121682.1482182593</v>
      </c>
      <c r="J13" s="194"/>
      <c r="K13" s="166"/>
    </row>
    <row r="14" spans="1:11" ht="19.5" customHeight="1" x14ac:dyDescent="0.3">
      <c r="A14" s="21" t="s">
        <v>343</v>
      </c>
      <c r="B14" s="71">
        <f>'t3'!B395+G14/4498.92*336209099.76</f>
        <v>1429605.3449291829</v>
      </c>
      <c r="C14" s="71">
        <f>'t3'!C395+G14/4498.92*72415724.13</f>
        <v>1209807.1905539329</v>
      </c>
      <c r="D14" s="22">
        <f>G14/4498.92*5042300.47</f>
        <v>21440.525279644888</v>
      </c>
      <c r="E14" s="22">
        <f>G14/4498.92*59094185.75</f>
        <v>251276.25594531573</v>
      </c>
      <c r="F14" s="22">
        <f t="shared" si="2"/>
        <v>2912129.3167080763</v>
      </c>
      <c r="G14" s="71">
        <f>'t3'!G395</f>
        <v>19.13</v>
      </c>
      <c r="H14" s="152" t="s">
        <v>44</v>
      </c>
      <c r="I14" s="22">
        <f t="shared" si="3"/>
        <v>152228.40129158788</v>
      </c>
      <c r="J14" s="194"/>
      <c r="K14" s="166"/>
    </row>
    <row r="15" spans="1:11" ht="19.5" customHeight="1" x14ac:dyDescent="0.25">
      <c r="A15" s="72" t="s">
        <v>98</v>
      </c>
      <c r="B15" s="62"/>
      <c r="C15" s="62"/>
      <c r="D15" s="62"/>
      <c r="E15" s="62"/>
      <c r="F15" s="62"/>
      <c r="G15" s="62"/>
      <c r="H15" s="153"/>
      <c r="I15" s="62"/>
      <c r="J15" s="194"/>
      <c r="K15" s="166"/>
    </row>
    <row r="16" spans="1:11" ht="19.5" customHeight="1" x14ac:dyDescent="0.3">
      <c r="A16" s="21" t="s">
        <v>116</v>
      </c>
      <c r="B16" s="34">
        <f>'t3'!B393+G16/4498.92*336209099.76</f>
        <v>364687.61543410411</v>
      </c>
      <c r="C16" s="34">
        <f>'t3'!C393+G16/4498.92*72415724.13</f>
        <v>774663.68164679524</v>
      </c>
      <c r="D16" s="22">
        <f>G16/4498.92*5042300.47</f>
        <v>5469.4073896846348</v>
      </c>
      <c r="E16" s="22">
        <f>G16/4498.92*59094185.75</f>
        <v>64099.745374445418</v>
      </c>
      <c r="F16" s="22">
        <f t="shared" si="2"/>
        <v>1208920.4498450293</v>
      </c>
      <c r="G16" s="34">
        <f>'t3'!G393</f>
        <v>4.88</v>
      </c>
      <c r="H16" s="152" t="s">
        <v>44</v>
      </c>
      <c r="I16" s="22">
        <f t="shared" si="3"/>
        <v>247729.60037807978</v>
      </c>
      <c r="J16" s="194"/>
      <c r="K16" s="166"/>
    </row>
    <row r="17" spans="1:11" ht="19.5" customHeight="1" x14ac:dyDescent="0.3">
      <c r="A17" s="21" t="s">
        <v>344</v>
      </c>
      <c r="B17" s="34">
        <f>'t3'!B396+G17/4498.92*336209099.76</f>
        <v>289956.54669760738</v>
      </c>
      <c r="C17" s="34">
        <f>'t3'!C396+G17/4498.92*72415724.13</f>
        <v>1655573.795407698</v>
      </c>
      <c r="D17" s="22">
        <f>G17/4498.92*5042300.47</f>
        <v>4348.627186880406</v>
      </c>
      <c r="E17" s="22">
        <f>G17/4498.92*59094185.75</f>
        <v>50964.551650173817</v>
      </c>
      <c r="F17" s="22">
        <f t="shared" si="2"/>
        <v>2000843.5209423595</v>
      </c>
      <c r="G17" s="34">
        <f>'t3'!G396</f>
        <v>3.88</v>
      </c>
      <c r="H17" s="152" t="s">
        <v>44</v>
      </c>
      <c r="I17" s="22">
        <f t="shared" si="3"/>
        <v>515681.319830505</v>
      </c>
      <c r="J17" s="194"/>
      <c r="K17" s="166"/>
    </row>
    <row r="18" spans="1:11" s="73" customFormat="1" ht="19.5" customHeight="1" x14ac:dyDescent="0.3">
      <c r="A18" s="61" t="s">
        <v>99</v>
      </c>
      <c r="B18" s="69">
        <f>'t3'!B399</f>
        <v>10608141.77</v>
      </c>
      <c r="C18" s="69">
        <f>'t3'!C399</f>
        <v>1217467.96</v>
      </c>
      <c r="D18" s="62">
        <v>0</v>
      </c>
      <c r="E18" s="62">
        <v>0</v>
      </c>
      <c r="F18" s="62">
        <f>SUM(B18:E18)</f>
        <v>11825609.73</v>
      </c>
      <c r="G18" s="48">
        <f>'t3'!G399</f>
        <v>196</v>
      </c>
      <c r="H18" s="149" t="str">
        <f>'t3'!H399</f>
        <v>โครงการ/กิจกรรม</v>
      </c>
      <c r="I18" s="62">
        <f t="shared" si="3"/>
        <v>60334.743520408163</v>
      </c>
      <c r="J18" s="194"/>
      <c r="K18" s="168"/>
    </row>
    <row r="19" spans="1:11" s="73" customFormat="1" ht="19.5" customHeight="1" x14ac:dyDescent="0.3">
      <c r="A19" s="61" t="s">
        <v>308</v>
      </c>
      <c r="B19" s="69">
        <f>'t3'!B400</f>
        <v>12105020</v>
      </c>
      <c r="C19" s="69">
        <f>'t3'!C400</f>
        <v>2444782.23</v>
      </c>
      <c r="D19" s="62">
        <v>0</v>
      </c>
      <c r="E19" s="62">
        <v>0</v>
      </c>
      <c r="F19" s="62">
        <f>SUM(B19:E19)</f>
        <v>14549802.23</v>
      </c>
      <c r="G19" s="48">
        <f>'t3'!G400</f>
        <v>89</v>
      </c>
      <c r="H19" s="149" t="str">
        <f>'t3'!H400</f>
        <v>เรื่อง</v>
      </c>
      <c r="I19" s="62">
        <f t="shared" si="3"/>
        <v>163480.92393258426</v>
      </c>
      <c r="J19" s="194"/>
      <c r="K19" s="167"/>
    </row>
    <row r="20" spans="1:11" s="73" customFormat="1" ht="19.5" customHeight="1" x14ac:dyDescent="0.3">
      <c r="A20" s="61" t="s">
        <v>309</v>
      </c>
      <c r="B20" s="69">
        <f>'t3'!B401</f>
        <v>1921389</v>
      </c>
      <c r="C20" s="69">
        <f>'t3'!C401</f>
        <v>509294</v>
      </c>
      <c r="D20" s="124">
        <v>0</v>
      </c>
      <c r="E20" s="62">
        <v>0</v>
      </c>
      <c r="F20" s="62">
        <f>SUM(B20:E20)</f>
        <v>2430683</v>
      </c>
      <c r="G20" s="48">
        <f>'t3'!G401</f>
        <v>61</v>
      </c>
      <c r="H20" s="149" t="str">
        <f>'t3'!H401</f>
        <v>โครงการ/กิจกรรม</v>
      </c>
      <c r="I20" s="62">
        <f t="shared" si="3"/>
        <v>39847.262295081964</v>
      </c>
      <c r="J20" s="194"/>
    </row>
    <row r="21" spans="1:11" ht="19.5" customHeight="1" x14ac:dyDescent="0.25">
      <c r="A21" s="65" t="s">
        <v>3</v>
      </c>
      <c r="B21" s="66">
        <f>SUM(B4:B20)</f>
        <v>369216575.05999994</v>
      </c>
      <c r="C21" s="66">
        <f t="shared" ref="C21:F21" si="4">SUM(C4:C20)</f>
        <v>88771906.329999983</v>
      </c>
      <c r="D21" s="66">
        <f t="shared" si="4"/>
        <v>5042300.47</v>
      </c>
      <c r="E21" s="66">
        <f>SUM(E4:E20)</f>
        <v>59094185.750000007</v>
      </c>
      <c r="F21" s="66">
        <f t="shared" si="4"/>
        <v>522124967.60999995</v>
      </c>
      <c r="G21" s="66"/>
      <c r="H21" s="66"/>
      <c r="I21" s="66"/>
      <c r="J21" s="194"/>
    </row>
    <row r="22" spans="1:11" ht="19.5" customHeight="1" x14ac:dyDescent="0.3">
      <c r="K22" s="165"/>
    </row>
    <row r="24" spans="1:11" ht="19.5" customHeight="1" x14ac:dyDescent="0.3">
      <c r="B24" s="14">
        <v>369216575.06</v>
      </c>
      <c r="C24" s="14">
        <v>88771906.329999998</v>
      </c>
      <c r="D24" s="14">
        <v>5042300.47</v>
      </c>
      <c r="E24" s="14">
        <v>59094185.75</v>
      </c>
      <c r="F24" s="14">
        <v>522124967.61000001</v>
      </c>
    </row>
    <row r="25" spans="1:11" ht="19.5" customHeight="1" x14ac:dyDescent="0.3">
      <c r="B25" s="14">
        <f>SUM(B21-B24)</f>
        <v>-5.9604644775390625E-8</v>
      </c>
      <c r="C25" s="14">
        <f>SUM(C21-C24)</f>
        <v>-1.4901161193847656E-8</v>
      </c>
      <c r="D25" s="14">
        <f>SUM(D21-D24)</f>
        <v>0</v>
      </c>
      <c r="E25" s="14">
        <f>SUM(E21-E24)</f>
        <v>7.4505805969238281E-9</v>
      </c>
      <c r="F25" s="14">
        <f>SUM(F21-F24)</f>
        <v>-5.9604644775390625E-8</v>
      </c>
      <c r="G25" s="14">
        <f>SUM(G4:G17)</f>
        <v>4498.920000000001</v>
      </c>
    </row>
    <row r="58" spans="1:9" s="73" customFormat="1" ht="19.5" customHeight="1" x14ac:dyDescent="0.3">
      <c r="A58" s="61" t="s">
        <v>101</v>
      </c>
      <c r="B58" s="69">
        <f>'t3'!B402</f>
        <v>336209099.75999999</v>
      </c>
      <c r="C58" s="69">
        <f>'t3'!C402</f>
        <v>72415724.129999995</v>
      </c>
      <c r="D58" s="74">
        <f>'t3'!D402</f>
        <v>5042300.47</v>
      </c>
      <c r="E58" s="74">
        <f>'t3'!E402</f>
        <v>59094185.75</v>
      </c>
      <c r="F58" s="62">
        <f>SUM(B58:E58)</f>
        <v>472761310.11000001</v>
      </c>
      <c r="G58" s="48">
        <f>'t3'!G402</f>
        <v>4498.920000000001</v>
      </c>
      <c r="H58" s="49" t="s">
        <v>44</v>
      </c>
      <c r="I58" s="62">
        <f>SUM(F58/G58)</f>
        <v>105083.28890266996</v>
      </c>
    </row>
    <row r="62" spans="1:9" ht="19.5" customHeight="1" x14ac:dyDescent="0.3">
      <c r="B62" s="13">
        <f>SUM(B58/12)</f>
        <v>28017424.98</v>
      </c>
      <c r="C62" s="13">
        <f>SUM(C58/12)</f>
        <v>6034643.6774999993</v>
      </c>
      <c r="D62" s="91">
        <f>SUM(D58/12)</f>
        <v>420191.70583333331</v>
      </c>
      <c r="E62" s="91">
        <f>SUM(E58/12)</f>
        <v>4924515.479166667</v>
      </c>
    </row>
  </sheetData>
  <pageMargins left="0.47244094488188981" right="0.15748031496062992" top="0.74803149606299213" bottom="0.74803149606299213" header="0.31496062992125984" footer="0.31496062992125984"/>
  <pageSetup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view="pageBreakPreview" topLeftCell="A22" zoomScaleSheetLayoutView="100" workbookViewId="0">
      <selection activeCell="D34" sqref="D34"/>
    </sheetView>
  </sheetViews>
  <sheetFormatPr defaultRowHeight="14.25" x14ac:dyDescent="0.2"/>
  <cols>
    <col min="6" max="6" width="22.5" customWidth="1"/>
    <col min="7" max="7" width="15.75" bestFit="1" customWidth="1"/>
    <col min="8" max="8" width="15.125" bestFit="1" customWidth="1"/>
    <col min="9" max="9" width="15.375" bestFit="1" customWidth="1"/>
    <col min="10" max="10" width="9" customWidth="1"/>
    <col min="11" max="11" width="15.5" customWidth="1"/>
  </cols>
  <sheetData>
    <row r="1" spans="1:10" ht="21" x14ac:dyDescent="0.35">
      <c r="A1" s="201" t="s">
        <v>121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21" x14ac:dyDescent="0.35">
      <c r="A2" s="201" t="s">
        <v>122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21" x14ac:dyDescent="0.35">
      <c r="A3" s="201" t="s">
        <v>123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0" ht="21" x14ac:dyDescent="0.35">
      <c r="A4" s="96"/>
      <c r="B4" s="96"/>
      <c r="C4" s="96"/>
      <c r="D4" s="96"/>
      <c r="E4" s="96"/>
      <c r="F4" s="96"/>
      <c r="G4" s="96"/>
      <c r="H4" s="96"/>
      <c r="I4" s="97" t="s">
        <v>124</v>
      </c>
      <c r="J4" s="96"/>
    </row>
    <row r="5" spans="1:10" ht="21" x14ac:dyDescent="0.35">
      <c r="A5" s="98"/>
      <c r="B5" s="98"/>
      <c r="C5" s="98"/>
      <c r="D5" s="99"/>
      <c r="E5" s="99"/>
      <c r="F5" s="96" t="s">
        <v>125</v>
      </c>
      <c r="G5" s="100">
        <v>2561</v>
      </c>
      <c r="H5" s="99"/>
      <c r="I5" s="100">
        <v>2560</v>
      </c>
      <c r="J5" s="101"/>
    </row>
    <row r="6" spans="1:10" ht="21" x14ac:dyDescent="0.35">
      <c r="A6" s="202" t="s">
        <v>8</v>
      </c>
      <c r="B6" s="202"/>
      <c r="C6" s="202"/>
      <c r="D6" s="202"/>
      <c r="E6" s="202"/>
      <c r="F6" s="102"/>
      <c r="G6" s="102"/>
      <c r="H6" s="103"/>
      <c r="I6" s="103"/>
      <c r="J6" s="98"/>
    </row>
    <row r="7" spans="1:10" ht="21" x14ac:dyDescent="0.35">
      <c r="A7" s="98"/>
      <c r="B7" s="104"/>
      <c r="C7" s="98" t="s">
        <v>126</v>
      </c>
      <c r="D7" s="103"/>
      <c r="E7" s="103"/>
      <c r="F7" s="105">
        <v>17</v>
      </c>
      <c r="G7" s="106">
        <v>628201225.26999998</v>
      </c>
      <c r="H7" s="103"/>
      <c r="I7" s="107">
        <v>766594459.19000006</v>
      </c>
      <c r="J7" s="107"/>
    </row>
    <row r="8" spans="1:10" ht="21" x14ac:dyDescent="0.35">
      <c r="A8" s="98"/>
      <c r="B8" s="104"/>
      <c r="C8" s="98" t="s">
        <v>120</v>
      </c>
      <c r="D8" s="103"/>
      <c r="E8" s="103"/>
      <c r="F8" s="105">
        <v>18</v>
      </c>
      <c r="G8" s="95">
        <v>141836189.25</v>
      </c>
      <c r="H8" s="103"/>
      <c r="I8" s="108">
        <v>0</v>
      </c>
      <c r="J8" s="107"/>
    </row>
    <row r="9" spans="1:10" ht="21" x14ac:dyDescent="0.35">
      <c r="A9" s="98"/>
      <c r="B9" s="98"/>
      <c r="C9" s="98" t="s">
        <v>74</v>
      </c>
      <c r="D9" s="103"/>
      <c r="E9" s="103"/>
      <c r="F9" s="105">
        <v>19</v>
      </c>
      <c r="G9" s="95">
        <v>95270423.890000001</v>
      </c>
      <c r="H9" s="103"/>
      <c r="I9" s="108">
        <v>0</v>
      </c>
      <c r="J9" s="109"/>
    </row>
    <row r="10" spans="1:10" ht="21" x14ac:dyDescent="0.35">
      <c r="A10" s="104" t="s">
        <v>127</v>
      </c>
      <c r="B10" s="98"/>
      <c r="C10" s="98"/>
      <c r="D10" s="103"/>
      <c r="E10" s="103"/>
      <c r="F10" s="105"/>
      <c r="G10" s="110">
        <f>SUM(G7:G9)</f>
        <v>865307838.40999997</v>
      </c>
      <c r="H10" s="103"/>
      <c r="I10" s="111">
        <f>SUM(I7:I9)</f>
        <v>766594459.19000006</v>
      </c>
      <c r="J10" s="112">
        <f>SUM(J7:J9)</f>
        <v>0</v>
      </c>
    </row>
    <row r="11" spans="1:10" ht="21" x14ac:dyDescent="0.35">
      <c r="A11" s="104" t="s">
        <v>128</v>
      </c>
      <c r="B11" s="98"/>
      <c r="C11" s="98"/>
      <c r="D11" s="103"/>
      <c r="E11" s="103"/>
      <c r="F11" s="105"/>
      <c r="G11" s="102"/>
      <c r="H11" s="103"/>
      <c r="I11" s="109"/>
      <c r="J11" s="109"/>
    </row>
    <row r="12" spans="1:10" ht="21" x14ac:dyDescent="0.35">
      <c r="A12" s="98"/>
      <c r="B12" s="98"/>
      <c r="C12" s="98" t="s">
        <v>129</v>
      </c>
      <c r="D12" s="103"/>
      <c r="E12" s="103"/>
      <c r="F12" s="105">
        <v>20</v>
      </c>
      <c r="G12" s="95">
        <v>325436101.55000001</v>
      </c>
      <c r="H12" s="103"/>
      <c r="I12" s="109">
        <v>318386644.83999997</v>
      </c>
      <c r="J12" s="109"/>
    </row>
    <row r="13" spans="1:10" ht="21" x14ac:dyDescent="0.35">
      <c r="A13" s="104"/>
      <c r="B13" s="98"/>
      <c r="C13" s="98" t="s">
        <v>56</v>
      </c>
      <c r="D13" s="103"/>
      <c r="E13" s="103"/>
      <c r="F13" s="105">
        <v>21</v>
      </c>
      <c r="G13" s="95">
        <v>54593081.189999998</v>
      </c>
      <c r="H13" s="103"/>
      <c r="I13" s="109">
        <v>51404024.780000001</v>
      </c>
      <c r="J13" s="109"/>
    </row>
    <row r="14" spans="1:10" ht="21" x14ac:dyDescent="0.35">
      <c r="A14" s="98"/>
      <c r="B14" s="104"/>
      <c r="C14" s="98" t="s">
        <v>130</v>
      </c>
      <c r="D14" s="103"/>
      <c r="E14" s="103"/>
      <c r="F14" s="105">
        <v>22</v>
      </c>
      <c r="G14" s="95">
        <v>14502416</v>
      </c>
      <c r="H14" s="103"/>
      <c r="I14" s="109">
        <v>2593550</v>
      </c>
      <c r="J14" s="109"/>
    </row>
    <row r="15" spans="1:10" ht="21" x14ac:dyDescent="0.35">
      <c r="A15" s="98"/>
      <c r="B15" s="98"/>
      <c r="C15" s="98" t="s">
        <v>131</v>
      </c>
      <c r="D15" s="103"/>
      <c r="E15" s="103"/>
      <c r="F15" s="105">
        <v>23</v>
      </c>
      <c r="G15" s="95">
        <v>24320278.640000001</v>
      </c>
      <c r="H15" s="103"/>
      <c r="I15" s="109">
        <v>12111796.85</v>
      </c>
      <c r="J15" s="109"/>
    </row>
    <row r="16" spans="1:10" ht="21" x14ac:dyDescent="0.35">
      <c r="A16" s="104"/>
      <c r="B16" s="98"/>
      <c r="C16" s="98" t="s">
        <v>132</v>
      </c>
      <c r="D16" s="103"/>
      <c r="E16" s="103"/>
      <c r="F16" s="105">
        <v>24</v>
      </c>
      <c r="G16" s="95">
        <v>103215101.51000001</v>
      </c>
      <c r="H16" s="103"/>
      <c r="I16" s="109">
        <v>31518518</v>
      </c>
      <c r="J16" s="109"/>
    </row>
    <row r="17" spans="1:10" ht="21" x14ac:dyDescent="0.35">
      <c r="A17" s="104"/>
      <c r="B17" s="98"/>
      <c r="C17" s="98" t="s">
        <v>60</v>
      </c>
      <c r="D17" s="103"/>
      <c r="E17" s="103"/>
      <c r="F17" s="105">
        <v>25</v>
      </c>
      <c r="G17" s="95">
        <v>17633020.559999999</v>
      </c>
      <c r="H17" s="103"/>
      <c r="I17" s="109">
        <v>18200253.699999999</v>
      </c>
      <c r="J17" s="109"/>
    </row>
    <row r="18" spans="1:10" ht="21" x14ac:dyDescent="0.35">
      <c r="A18" s="104"/>
      <c r="B18" s="98"/>
      <c r="C18" s="98" t="s">
        <v>61</v>
      </c>
      <c r="D18" s="103"/>
      <c r="E18" s="103"/>
      <c r="F18" s="105">
        <v>26</v>
      </c>
      <c r="G18" s="95">
        <v>59826489</v>
      </c>
      <c r="H18" s="103"/>
      <c r="I18" s="109">
        <v>99674797.189999998</v>
      </c>
      <c r="J18" s="109"/>
    </row>
    <row r="19" spans="1:10" ht="21" x14ac:dyDescent="0.35">
      <c r="A19" s="113"/>
      <c r="B19" s="113"/>
      <c r="C19" s="103" t="s">
        <v>133</v>
      </c>
      <c r="D19" s="113"/>
      <c r="E19" s="113"/>
      <c r="F19" s="105">
        <v>27</v>
      </c>
      <c r="G19" s="95">
        <v>45012567.43</v>
      </c>
      <c r="H19" s="98"/>
      <c r="I19" s="109">
        <v>6316574.3700000001</v>
      </c>
      <c r="J19" s="109"/>
    </row>
    <row r="20" spans="1:10" ht="21" x14ac:dyDescent="0.35">
      <c r="A20" s="114"/>
      <c r="B20" s="114"/>
      <c r="C20" s="115" t="s">
        <v>62</v>
      </c>
      <c r="D20" s="114"/>
      <c r="E20" s="114"/>
      <c r="F20" s="105">
        <v>28</v>
      </c>
      <c r="G20" s="95">
        <v>43598148.630000003</v>
      </c>
      <c r="H20" s="103"/>
      <c r="I20" s="116">
        <v>8938494.3000000007</v>
      </c>
      <c r="J20" s="109"/>
    </row>
    <row r="21" spans="1:10" ht="21" x14ac:dyDescent="0.35">
      <c r="A21" s="104" t="s">
        <v>134</v>
      </c>
      <c r="B21" s="104"/>
      <c r="C21" s="98"/>
      <c r="D21" s="103"/>
      <c r="E21" s="103"/>
      <c r="F21" s="102"/>
      <c r="G21" s="110">
        <f>SUM(G12:G20)</f>
        <v>688137204.50999987</v>
      </c>
      <c r="H21" s="103"/>
      <c r="I21" s="111">
        <f>SUM(I12:I20)</f>
        <v>549144654.02999997</v>
      </c>
      <c r="J21" s="112">
        <f>SUM(J12:J20)</f>
        <v>0</v>
      </c>
    </row>
    <row r="22" spans="1:10" ht="21.75" thickBot="1" x14ac:dyDescent="0.4">
      <c r="A22" s="104" t="s">
        <v>135</v>
      </c>
      <c r="B22" s="104"/>
      <c r="C22" s="98"/>
      <c r="D22" s="103"/>
      <c r="E22" s="103"/>
      <c r="F22" s="102"/>
      <c r="G22" s="117">
        <f>+G10-G21</f>
        <v>177170633.9000001</v>
      </c>
      <c r="H22" s="103"/>
      <c r="I22" s="118">
        <f>+I10-I21</f>
        <v>217449805.16000009</v>
      </c>
      <c r="J22" s="112">
        <f>+J10-J21</f>
        <v>0</v>
      </c>
    </row>
    <row r="23" spans="1:10" ht="21.75" thickTop="1" x14ac:dyDescent="0.35">
      <c r="A23" s="98"/>
      <c r="B23" s="98"/>
      <c r="C23" s="98"/>
      <c r="D23" s="103"/>
      <c r="E23" s="103"/>
      <c r="F23" s="102"/>
      <c r="G23" s="102"/>
      <c r="H23" s="103"/>
      <c r="I23" s="109"/>
      <c r="J23" s="109"/>
    </row>
    <row r="24" spans="1:10" ht="21" x14ac:dyDescent="0.35">
      <c r="A24" s="98" t="s">
        <v>136</v>
      </c>
      <c r="B24" s="98"/>
      <c r="C24" s="98"/>
      <c r="D24" s="103"/>
      <c r="E24" s="103"/>
      <c r="F24" s="102"/>
      <c r="G24" s="98"/>
      <c r="H24" s="103"/>
      <c r="I24" s="109"/>
      <c r="J24" s="109"/>
    </row>
    <row r="25" spans="1:10" ht="18.75" x14ac:dyDescent="0.3">
      <c r="A25" s="26" t="s">
        <v>137</v>
      </c>
      <c r="B25" s="26"/>
      <c r="C25" s="26"/>
      <c r="D25" s="26"/>
      <c r="E25" s="26"/>
      <c r="F25" s="26"/>
      <c r="G25" s="26"/>
      <c r="H25" s="26"/>
      <c r="I25" s="26"/>
    </row>
    <row r="26" spans="1:10" ht="18.75" x14ac:dyDescent="0.3">
      <c r="A26" s="13"/>
      <c r="B26" s="13"/>
      <c r="C26" s="13"/>
      <c r="D26" s="13"/>
      <c r="E26" s="13"/>
      <c r="F26" s="13"/>
      <c r="G26" s="26"/>
      <c r="H26" s="26"/>
      <c r="I26" s="26" t="s">
        <v>10</v>
      </c>
    </row>
    <row r="27" spans="1:10" ht="18.75" x14ac:dyDescent="0.3">
      <c r="A27" s="26" t="s">
        <v>15</v>
      </c>
      <c r="B27" s="13"/>
      <c r="C27" s="13"/>
      <c r="D27" s="13"/>
      <c r="E27" s="13"/>
      <c r="F27" s="13"/>
      <c r="G27" s="3"/>
      <c r="H27" s="3"/>
      <c r="I27" s="3"/>
    </row>
    <row r="28" spans="1:10" ht="18.75" x14ac:dyDescent="0.3">
      <c r="A28" s="26"/>
      <c r="B28" s="13"/>
      <c r="C28" s="13"/>
      <c r="D28" s="13"/>
      <c r="E28" s="13"/>
      <c r="F28" s="13"/>
      <c r="G28" s="75">
        <v>2561</v>
      </c>
      <c r="H28" s="75">
        <v>2560</v>
      </c>
      <c r="I28" s="26" t="s">
        <v>69</v>
      </c>
    </row>
    <row r="29" spans="1:10" ht="18.75" x14ac:dyDescent="0.3">
      <c r="A29" s="13"/>
      <c r="B29" s="13" t="s">
        <v>9</v>
      </c>
      <c r="C29" s="13"/>
      <c r="D29" s="13"/>
      <c r="E29" s="13"/>
      <c r="F29" s="13"/>
      <c r="G29" s="91">
        <f>G7</f>
        <v>628201225.26999998</v>
      </c>
      <c r="H29" s="14">
        <v>707866628</v>
      </c>
      <c r="I29" s="14">
        <f>SUM(G29-H29)/H29*100</f>
        <v>-11.25429559450852</v>
      </c>
    </row>
    <row r="30" spans="1:10" ht="18.75" x14ac:dyDescent="0.3">
      <c r="A30" s="13"/>
      <c r="B30" s="13" t="s">
        <v>120</v>
      </c>
      <c r="C30" s="13"/>
      <c r="D30" s="13"/>
      <c r="E30" s="13"/>
      <c r="F30" s="13"/>
      <c r="G30" s="91">
        <f t="shared" ref="G30:G31" si="0">G8</f>
        <v>141836189.25</v>
      </c>
      <c r="H30" s="14">
        <v>109341983.77</v>
      </c>
      <c r="I30" s="14">
        <f t="shared" ref="I30:I31" si="1">SUM(G30-H30)/H30*100</f>
        <v>29.717958609888868</v>
      </c>
    </row>
    <row r="31" spans="1:10" ht="18.75" x14ac:dyDescent="0.3">
      <c r="A31" s="26"/>
      <c r="B31" s="13" t="s">
        <v>22</v>
      </c>
      <c r="C31" s="26"/>
      <c r="D31" s="26"/>
      <c r="E31" s="26"/>
      <c r="F31" s="26"/>
      <c r="G31" s="91">
        <f t="shared" si="0"/>
        <v>95270423.890000001</v>
      </c>
      <c r="H31" s="14">
        <v>42089323.93</v>
      </c>
      <c r="I31" s="14">
        <f t="shared" si="1"/>
        <v>126.35294415383594</v>
      </c>
    </row>
    <row r="32" spans="1:10" ht="19.5" thickBot="1" x14ac:dyDescent="0.35">
      <c r="A32" s="26" t="s">
        <v>75</v>
      </c>
      <c r="B32" s="26"/>
      <c r="C32" s="26"/>
      <c r="D32" s="26"/>
      <c r="E32" s="26"/>
      <c r="F32" s="26"/>
      <c r="G32" s="119">
        <f>SUM(G29:G31)</f>
        <v>865307838.40999997</v>
      </c>
      <c r="H32" s="119">
        <f>SUM(H29:H31)</f>
        <v>859297935.69999993</v>
      </c>
      <c r="I32" s="42">
        <f t="shared" ref="I32" si="2">SUM(G32-H32)/H32*100</f>
        <v>0.69939685181534395</v>
      </c>
    </row>
    <row r="33" spans="1:9" ht="19.5" thickTop="1" x14ac:dyDescent="0.3">
      <c r="A33" s="26" t="s">
        <v>54</v>
      </c>
      <c r="B33" s="13"/>
      <c r="C33" s="13"/>
      <c r="D33" s="13"/>
      <c r="E33" s="13"/>
      <c r="F33" s="13"/>
      <c r="G33" s="13"/>
      <c r="H33" s="13"/>
      <c r="I33" s="14"/>
    </row>
    <row r="34" spans="1:9" ht="18.75" x14ac:dyDescent="0.3">
      <c r="B34" s="13" t="s">
        <v>63</v>
      </c>
      <c r="C34" s="13"/>
      <c r="D34" s="13"/>
      <c r="E34" s="13"/>
      <c r="F34" s="13"/>
      <c r="G34" s="120">
        <f>'t2'!E9</f>
        <v>522124967.60999995</v>
      </c>
      <c r="H34" s="36">
        <f>'t6'!I10</f>
        <v>556701426.01999998</v>
      </c>
      <c r="I34" s="88">
        <f>SUM(G34-H34)/H34*100</f>
        <v>-6.2109520101638536</v>
      </c>
    </row>
    <row r="35" spans="1:9" ht="18.75" x14ac:dyDescent="0.3">
      <c r="A35" s="26" t="s">
        <v>67</v>
      </c>
      <c r="B35" s="13"/>
      <c r="C35" s="13"/>
      <c r="D35" s="13"/>
      <c r="E35" s="13"/>
      <c r="F35" s="13"/>
      <c r="G35" s="121">
        <f>SUM(G32-G34)</f>
        <v>343182870.80000001</v>
      </c>
      <c r="H35" s="121">
        <f>SUM(H32-H34)</f>
        <v>302596509.67999995</v>
      </c>
      <c r="I35" s="88">
        <f>SUM(G35-H35)/H35*100</f>
        <v>13.412699691387949</v>
      </c>
    </row>
    <row r="36" spans="1:9" ht="18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ht="18.75" x14ac:dyDescent="0.3">
      <c r="A37" s="26" t="s">
        <v>321</v>
      </c>
      <c r="B37" s="26"/>
      <c r="C37" s="3"/>
      <c r="D37" s="3"/>
      <c r="E37" s="3"/>
      <c r="F37" s="3"/>
      <c r="G37" s="3"/>
      <c r="H37" s="3"/>
      <c r="I37" s="3"/>
    </row>
    <row r="38" spans="1:9" ht="18.75" x14ac:dyDescent="0.3">
      <c r="A38" s="3"/>
      <c r="B38" s="13" t="s">
        <v>350</v>
      </c>
      <c r="C38" s="3"/>
      <c r="D38" s="3"/>
      <c r="E38" s="3"/>
      <c r="F38" s="3"/>
      <c r="G38" s="3"/>
      <c r="H38" s="3"/>
      <c r="I38" s="3"/>
    </row>
    <row r="39" spans="1:9" ht="18.75" x14ac:dyDescent="0.3">
      <c r="A39" s="13" t="s">
        <v>351</v>
      </c>
      <c r="B39" s="26"/>
      <c r="C39" s="3"/>
      <c r="D39" s="3"/>
      <c r="E39" s="3"/>
      <c r="F39" s="3"/>
      <c r="G39" s="3"/>
      <c r="H39" s="3"/>
      <c r="I39" s="3"/>
    </row>
    <row r="40" spans="1:9" ht="18.75" x14ac:dyDescent="0.3">
      <c r="A40" s="3"/>
      <c r="B40" s="26"/>
      <c r="C40" s="3"/>
      <c r="D40" s="3"/>
      <c r="E40" s="3"/>
      <c r="F40" s="3"/>
      <c r="G40" s="3"/>
      <c r="H40" s="3"/>
      <c r="I40" s="3"/>
    </row>
  </sheetData>
  <mergeCells count="4">
    <mergeCell ref="A1:J1"/>
    <mergeCell ref="A2:J2"/>
    <mergeCell ref="A3:J3"/>
    <mergeCell ref="A6:E6"/>
  </mergeCells>
  <pageMargins left="0.70866141732283472" right="0.15748031496062992" top="0.74803149606299213" bottom="0.74803149606299213" header="0.31496062992125984" footer="0.31496062992125984"/>
  <pageSetup scale="99" orientation="landscape" r:id="rId1"/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"/>
  <sheetViews>
    <sheetView view="pageBreakPreview" zoomScaleSheetLayoutView="100" workbookViewId="0">
      <selection activeCell="C18" sqref="C18"/>
    </sheetView>
  </sheetViews>
  <sheetFormatPr defaultColWidth="12.875" defaultRowHeight="18" x14ac:dyDescent="0.25"/>
  <cols>
    <col min="1" max="1" width="32.5" style="3" customWidth="1"/>
    <col min="2" max="2" width="12" style="3" bestFit="1" customWidth="1"/>
    <col min="3" max="3" width="11.625" style="3" customWidth="1"/>
    <col min="4" max="4" width="8.75" style="3" bestFit="1" customWidth="1"/>
    <col min="5" max="5" width="12.375" style="3" bestFit="1" customWidth="1"/>
    <col min="6" max="6" width="12" style="3" bestFit="1" customWidth="1"/>
    <col min="7" max="7" width="13.25" style="3" bestFit="1" customWidth="1"/>
    <col min="8" max="8" width="10.25" style="3" bestFit="1" customWidth="1"/>
    <col min="9" max="9" width="12" style="3" bestFit="1" customWidth="1"/>
    <col min="10" max="10" width="11.75" style="3" bestFit="1" customWidth="1"/>
    <col min="11" max="12" width="12.875" style="3"/>
    <col min="13" max="13" width="17.375" style="3" bestFit="1" customWidth="1"/>
    <col min="14" max="16384" width="12.875" style="3"/>
  </cols>
  <sheetData>
    <row r="1" spans="1:13" ht="18.75" x14ac:dyDescent="0.3">
      <c r="A1" s="2" t="s">
        <v>138</v>
      </c>
    </row>
    <row r="2" spans="1:13" ht="18.75" x14ac:dyDescent="0.3">
      <c r="J2" s="4" t="s">
        <v>10</v>
      </c>
    </row>
    <row r="3" spans="1:13" x14ac:dyDescent="0.25">
      <c r="A3" s="203" t="s">
        <v>139</v>
      </c>
      <c r="B3" s="203"/>
      <c r="C3" s="203"/>
      <c r="D3" s="203"/>
      <c r="E3" s="203"/>
      <c r="F3" s="203" t="s">
        <v>102</v>
      </c>
      <c r="G3" s="203"/>
      <c r="H3" s="203"/>
      <c r="I3" s="203"/>
      <c r="J3" s="203"/>
    </row>
    <row r="4" spans="1:13" ht="36.75" customHeight="1" x14ac:dyDescent="0.25">
      <c r="A4" s="40" t="s">
        <v>0</v>
      </c>
      <c r="B4" s="40" t="s">
        <v>1</v>
      </c>
      <c r="C4" s="40" t="s">
        <v>2</v>
      </c>
      <c r="D4" s="40" t="s">
        <v>4</v>
      </c>
      <c r="E4" s="40" t="s">
        <v>3</v>
      </c>
      <c r="F4" s="40" t="s">
        <v>1</v>
      </c>
      <c r="G4" s="40" t="s">
        <v>2</v>
      </c>
      <c r="H4" s="40" t="s">
        <v>4</v>
      </c>
      <c r="I4" s="40" t="s">
        <v>3</v>
      </c>
      <c r="J4" s="40" t="s">
        <v>117</v>
      </c>
    </row>
    <row r="5" spans="1:13" ht="18.75" x14ac:dyDescent="0.25">
      <c r="A5" s="43" t="s">
        <v>76</v>
      </c>
      <c r="B5" s="157">
        <f>'t2'!B4</f>
        <v>71475942.599999994</v>
      </c>
      <c r="C5" s="157">
        <f>'t2'!C4</f>
        <v>0</v>
      </c>
      <c r="D5" s="158">
        <f>'t2'!D4</f>
        <v>5042300.47</v>
      </c>
      <c r="E5" s="157">
        <f>SUM(B5:D5)</f>
        <v>76518243.069999993</v>
      </c>
      <c r="F5" s="157">
        <v>74935400</v>
      </c>
      <c r="G5" s="157">
        <v>540936</v>
      </c>
      <c r="H5" s="157">
        <v>105000</v>
      </c>
      <c r="I5" s="157">
        <f>SUM(F5:H5)</f>
        <v>75581336</v>
      </c>
      <c r="J5" s="158">
        <f>SUM(E5-I5)/E5*100</f>
        <v>1.2244231341575587</v>
      </c>
    </row>
    <row r="6" spans="1:13" ht="18.75" x14ac:dyDescent="0.3">
      <c r="A6" s="45" t="s">
        <v>298</v>
      </c>
      <c r="B6" s="157">
        <f>'t2'!B5</f>
        <v>48332114.579999998</v>
      </c>
      <c r="C6" s="157">
        <f>'t2'!C5</f>
        <v>53467403.369999997</v>
      </c>
      <c r="D6" s="158">
        <v>0</v>
      </c>
      <c r="E6" s="157">
        <f t="shared" ref="E6:E8" si="0">SUM(B6:D6)</f>
        <v>101799517.94999999</v>
      </c>
      <c r="F6" s="157">
        <v>85284800</v>
      </c>
      <c r="G6" s="157">
        <v>49152544</v>
      </c>
      <c r="H6" s="159">
        <v>0</v>
      </c>
      <c r="I6" s="157">
        <f t="shared" ref="I6:I9" si="1">SUM(F6:H6)</f>
        <v>134437344</v>
      </c>
      <c r="J6" s="158">
        <f t="shared" ref="J6:J10" si="2">SUM(E6-I6)/E6*100</f>
        <v>-32.0608846753385</v>
      </c>
    </row>
    <row r="7" spans="1:13" ht="18.75" x14ac:dyDescent="0.3">
      <c r="A7" s="45" t="s">
        <v>299</v>
      </c>
      <c r="B7" s="157">
        <f>'t2'!B6</f>
        <v>58722817.68</v>
      </c>
      <c r="C7" s="157">
        <f>'t2'!C6</f>
        <v>371368.07</v>
      </c>
      <c r="D7" s="158">
        <v>0</v>
      </c>
      <c r="E7" s="157">
        <f t="shared" si="0"/>
        <v>59094185.75</v>
      </c>
      <c r="F7" s="157">
        <v>115104046.02</v>
      </c>
      <c r="G7" s="157">
        <v>0</v>
      </c>
      <c r="H7" s="158">
        <v>0</v>
      </c>
      <c r="I7" s="157">
        <f t="shared" si="1"/>
        <v>115104046.02</v>
      </c>
      <c r="J7" s="158">
        <f t="shared" si="2"/>
        <v>-94.780661682947382</v>
      </c>
      <c r="L7" s="3">
        <v>115104046.02</v>
      </c>
      <c r="M7" s="3" t="s">
        <v>307</v>
      </c>
    </row>
    <row r="8" spans="1:13" s="25" customFormat="1" ht="14.25" customHeight="1" x14ac:dyDescent="0.3">
      <c r="A8" s="45" t="s">
        <v>300</v>
      </c>
      <c r="B8" s="157">
        <f>'t2'!B7</f>
        <v>224508945.21000001</v>
      </c>
      <c r="C8" s="157">
        <f>'t2'!C7</f>
        <v>21620699.07</v>
      </c>
      <c r="D8" s="158">
        <v>0</v>
      </c>
      <c r="E8" s="157">
        <f t="shared" si="0"/>
        <v>246129644.28</v>
      </c>
      <c r="F8" s="160">
        <v>197649300</v>
      </c>
      <c r="G8" s="160">
        <v>20064500</v>
      </c>
      <c r="H8" s="160">
        <v>0</v>
      </c>
      <c r="I8" s="157">
        <f t="shared" si="1"/>
        <v>217713800</v>
      </c>
      <c r="J8" s="158">
        <f t="shared" si="2"/>
        <v>11.545071851513262</v>
      </c>
    </row>
    <row r="9" spans="1:13" ht="18.75" x14ac:dyDescent="0.3">
      <c r="A9" s="45" t="s">
        <v>301</v>
      </c>
      <c r="B9" s="157">
        <f>'t2'!B8</f>
        <v>24899572.670000002</v>
      </c>
      <c r="C9" s="157">
        <f>'t2'!C8</f>
        <v>13683803.890000001</v>
      </c>
      <c r="D9" s="160">
        <f>'t2'!D8</f>
        <v>0</v>
      </c>
      <c r="E9" s="157">
        <f>SUM(B9:D9)</f>
        <v>38583376.560000002</v>
      </c>
      <c r="F9" s="160">
        <v>769900</v>
      </c>
      <c r="G9" s="160">
        <v>13095000</v>
      </c>
      <c r="H9" s="160">
        <v>0</v>
      </c>
      <c r="I9" s="157">
        <f t="shared" si="1"/>
        <v>13864900</v>
      </c>
      <c r="J9" s="158">
        <f t="shared" si="2"/>
        <v>64.065094255192889</v>
      </c>
    </row>
    <row r="10" spans="1:13" x14ac:dyDescent="0.25">
      <c r="A10" s="127" t="s">
        <v>3</v>
      </c>
      <c r="B10" s="128">
        <f>SUM(B5:B9)</f>
        <v>427939392.74000001</v>
      </c>
      <c r="C10" s="128">
        <f t="shared" ref="C10:E10" si="3">SUM(C5:C9)</f>
        <v>89143274.399999991</v>
      </c>
      <c r="D10" s="128">
        <f t="shared" si="3"/>
        <v>5042300.47</v>
      </c>
      <c r="E10" s="128">
        <f t="shared" si="3"/>
        <v>522124967.60999995</v>
      </c>
      <c r="F10" s="89">
        <f>SUM(F5:F9)</f>
        <v>473743446.01999998</v>
      </c>
      <c r="G10" s="89">
        <f t="shared" ref="G10:I10" si="4">SUM(G5:G9)</f>
        <v>82852980</v>
      </c>
      <c r="H10" s="89">
        <f t="shared" si="4"/>
        <v>105000</v>
      </c>
      <c r="I10" s="89">
        <f t="shared" si="4"/>
        <v>556701426.01999998</v>
      </c>
      <c r="J10" s="89">
        <f t="shared" si="2"/>
        <v>-6.6222572286232504</v>
      </c>
      <c r="L10" s="3" t="s">
        <v>306</v>
      </c>
      <c r="M10" s="134">
        <f>'t5'!H34</f>
        <v>556701426.01999998</v>
      </c>
    </row>
    <row r="12" spans="1:13" ht="18.75" x14ac:dyDescent="0.3">
      <c r="A12" s="8" t="s">
        <v>322</v>
      </c>
    </row>
    <row r="13" spans="1:13" ht="18.75" x14ac:dyDescent="0.25">
      <c r="A13" s="204" t="s">
        <v>352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</row>
    <row r="14" spans="1:13" ht="18.75" x14ac:dyDescent="0.3">
      <c r="A14" s="5"/>
    </row>
    <row r="15" spans="1:13" ht="18.75" x14ac:dyDescent="0.3">
      <c r="A15" s="5"/>
    </row>
  </sheetData>
  <mergeCells count="3">
    <mergeCell ref="A3:E3"/>
    <mergeCell ref="F3:J3"/>
    <mergeCell ref="A13:K13"/>
  </mergeCells>
  <pageMargins left="0.70866141732283472" right="0.23622047244094491" top="0.74803149606299213" bottom="0.74803149606299213" header="0.31496062992125984" footer="0.31496062992125984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view="pageBreakPreview" zoomScale="110" zoomScaleSheetLayoutView="110" workbookViewId="0">
      <selection activeCell="A8" sqref="A8"/>
    </sheetView>
  </sheetViews>
  <sheetFormatPr defaultColWidth="13.75" defaultRowHeight="18.75" x14ac:dyDescent="0.3"/>
  <cols>
    <col min="1" max="1" width="50.125" style="92" customWidth="1"/>
    <col min="2" max="2" width="12.75" style="13" customWidth="1"/>
    <col min="3" max="3" width="11.875" style="13" customWidth="1"/>
    <col min="4" max="4" width="9.875" style="13" customWidth="1"/>
    <col min="5" max="5" width="9.5" style="13" customWidth="1"/>
    <col min="6" max="6" width="11.875" style="13" bestFit="1" customWidth="1"/>
    <col min="7" max="7" width="7" style="13" bestFit="1" customWidth="1"/>
    <col min="8" max="8" width="11.625" style="13" customWidth="1"/>
    <col min="9" max="9" width="8.875" style="13" customWidth="1"/>
    <col min="10" max="10" width="10.625" style="13" customWidth="1"/>
    <col min="11" max="11" width="10.75" style="13" customWidth="1"/>
    <col min="12" max="12" width="9.625" style="13" customWidth="1"/>
    <col min="13" max="13" width="10.625" style="13" bestFit="1" customWidth="1"/>
    <col min="14" max="14" width="13.75" style="13"/>
    <col min="15" max="15" width="6.25" style="13" bestFit="1" customWidth="1"/>
    <col min="16" max="16" width="11.375" style="13" customWidth="1"/>
    <col min="17" max="17" width="9.375" style="13" bestFit="1" customWidth="1"/>
    <col min="18" max="16384" width="13.75" style="13"/>
  </cols>
  <sheetData>
    <row r="1" spans="1:20" x14ac:dyDescent="0.3">
      <c r="A1" s="208" t="s">
        <v>296</v>
      </c>
      <c r="B1" s="208"/>
      <c r="C1" s="208"/>
      <c r="D1" s="208"/>
      <c r="E1" s="208"/>
      <c r="F1" s="208"/>
      <c r="G1" s="208"/>
      <c r="H1" s="208"/>
      <c r="I1" s="208"/>
      <c r="T1" s="4" t="s">
        <v>10</v>
      </c>
    </row>
    <row r="2" spans="1:20" x14ac:dyDescent="0.3">
      <c r="A2" s="209" t="s">
        <v>29</v>
      </c>
      <c r="B2" s="205" t="s">
        <v>297</v>
      </c>
      <c r="C2" s="205"/>
      <c r="D2" s="205"/>
      <c r="E2" s="205"/>
      <c r="F2" s="205"/>
      <c r="G2" s="205"/>
      <c r="H2" s="205"/>
      <c r="I2" s="205"/>
      <c r="J2" s="205" t="s">
        <v>103</v>
      </c>
      <c r="K2" s="205"/>
      <c r="L2" s="205"/>
      <c r="M2" s="205"/>
      <c r="N2" s="205"/>
      <c r="O2" s="205"/>
      <c r="P2" s="205"/>
      <c r="Q2" s="205"/>
      <c r="R2" s="206" t="s">
        <v>113</v>
      </c>
      <c r="S2" s="206" t="s">
        <v>114</v>
      </c>
      <c r="T2" s="206" t="s">
        <v>115</v>
      </c>
    </row>
    <row r="3" spans="1:20" ht="31.5" x14ac:dyDescent="0.3">
      <c r="A3" s="209"/>
      <c r="B3" s="40" t="s">
        <v>1</v>
      </c>
      <c r="C3" s="40" t="s">
        <v>2</v>
      </c>
      <c r="D3" s="40" t="s">
        <v>4</v>
      </c>
      <c r="E3" s="40" t="s">
        <v>5</v>
      </c>
      <c r="F3" s="40" t="s">
        <v>6</v>
      </c>
      <c r="G3" s="40" t="s">
        <v>42</v>
      </c>
      <c r="H3" s="40" t="s">
        <v>43</v>
      </c>
      <c r="I3" s="40" t="s">
        <v>11</v>
      </c>
      <c r="J3" s="40" t="s">
        <v>1</v>
      </c>
      <c r="K3" s="40" t="s">
        <v>2</v>
      </c>
      <c r="L3" s="40" t="s">
        <v>4</v>
      </c>
      <c r="M3" s="40" t="s">
        <v>5</v>
      </c>
      <c r="N3" s="40" t="s">
        <v>6</v>
      </c>
      <c r="O3" s="40" t="s">
        <v>42</v>
      </c>
      <c r="P3" s="40" t="s">
        <v>43</v>
      </c>
      <c r="Q3" s="40" t="s">
        <v>11</v>
      </c>
      <c r="R3" s="207"/>
      <c r="S3" s="207"/>
      <c r="T3" s="207"/>
    </row>
    <row r="4" spans="1:20" x14ac:dyDescent="0.3">
      <c r="A4" s="129" t="str">
        <f>'t3'!A387</f>
        <v>1.การจัดการเรียนการสอนกลุ่มสาขาวิชาครุศาสตร์/ศึกษาศาสตร์ระดับปริญญาตรี</v>
      </c>
      <c r="B4" s="41">
        <f>'t3'!B387</f>
        <v>2155510.2000000002</v>
      </c>
      <c r="C4" s="41">
        <f>'t3'!C387</f>
        <v>1032261</v>
      </c>
      <c r="D4" s="41">
        <f>'t3'!D387</f>
        <v>0</v>
      </c>
      <c r="E4" s="41">
        <f>'t3'!E387</f>
        <v>0</v>
      </c>
      <c r="F4" s="41">
        <f>'t3'!F387</f>
        <v>3187771.2</v>
      </c>
      <c r="G4" s="41">
        <f>'t3'!G387</f>
        <v>1233.0899999999999</v>
      </c>
      <c r="H4" s="154" t="str">
        <f>'t3'!H387</f>
        <v>FTES</v>
      </c>
      <c r="I4" s="41">
        <f>'t3'!I387</f>
        <v>2585.1894022334141</v>
      </c>
      <c r="J4" s="126">
        <v>5059460</v>
      </c>
      <c r="K4" s="126">
        <v>3709640</v>
      </c>
      <c r="L4" s="130">
        <v>0</v>
      </c>
      <c r="M4" s="130">
        <v>0</v>
      </c>
      <c r="N4" s="126">
        <f>SUM(J4:M4)</f>
        <v>8769100</v>
      </c>
      <c r="O4" s="130">
        <v>979.97</v>
      </c>
      <c r="P4" s="131" t="s">
        <v>44</v>
      </c>
      <c r="Q4" s="126">
        <v>8948.2900000000009</v>
      </c>
      <c r="R4" s="126">
        <f>SUM(F4-N4)/N4*100</f>
        <v>-63.647681061910568</v>
      </c>
      <c r="S4" s="126">
        <f>SUM(G4-O4)/O4*100</f>
        <v>25.829362123330295</v>
      </c>
      <c r="T4" s="126">
        <f>SUM(I4-Q4)/Q4*100</f>
        <v>-71.109682383635146</v>
      </c>
    </row>
    <row r="5" spans="1:20" x14ac:dyDescent="0.3">
      <c r="A5" s="129" t="str">
        <f>'t3'!A388</f>
        <v>2.การจัดการเรียนการสอนกลุ่มสาขาวิชาครุศาสตร์/ศึกษาศาสตร์ระดับปริญญาโท</v>
      </c>
      <c r="B5" s="41">
        <f>'t3'!B388</f>
        <v>0</v>
      </c>
      <c r="C5" s="41">
        <f>'t3'!C388</f>
        <v>3498726.21</v>
      </c>
      <c r="D5" s="41">
        <f>'t3'!D388</f>
        <v>0</v>
      </c>
      <c r="E5" s="41">
        <f>'t3'!E388</f>
        <v>0</v>
      </c>
      <c r="F5" s="41">
        <f>'t3'!F388</f>
        <v>3498726.21</v>
      </c>
      <c r="G5" s="41">
        <f>'t3'!G388</f>
        <v>25.63</v>
      </c>
      <c r="H5" s="154" t="str">
        <f>'t3'!H388</f>
        <v>FTES</v>
      </c>
      <c r="I5" s="41">
        <f>'t3'!I388</f>
        <v>136509.0210690597</v>
      </c>
      <c r="J5" s="130">
        <v>0</v>
      </c>
      <c r="K5" s="126">
        <v>462000</v>
      </c>
      <c r="L5" s="130">
        <v>0</v>
      </c>
      <c r="M5" s="130">
        <v>0</v>
      </c>
      <c r="N5" s="126">
        <f t="shared" ref="N5:N19" si="0">SUM(J5:M5)</f>
        <v>462000</v>
      </c>
      <c r="O5" s="130">
        <v>95.34</v>
      </c>
      <c r="P5" s="131" t="s">
        <v>44</v>
      </c>
      <c r="Q5" s="126">
        <v>4845.8999999999996</v>
      </c>
      <c r="R5" s="126">
        <f>SUM(F5-N5)/N5*100</f>
        <v>657.3000454545454</v>
      </c>
      <c r="S5" s="126">
        <f t="shared" ref="S5:S19" si="1">SUM(G5-O5)/O5*100</f>
        <v>-73.117264526956163</v>
      </c>
      <c r="T5" s="126">
        <f t="shared" ref="T5:T19" si="2">SUM(I5-Q5)/Q5*100</f>
        <v>2717.0003728731449</v>
      </c>
    </row>
    <row r="6" spans="1:20" x14ac:dyDescent="0.3">
      <c r="A6" s="129" t="str">
        <f>'t3'!A389</f>
        <v>3.การจัดการเรียนการสอนกลุ่มสาขาวิชาวิทยาศาสตร์กายภาพและชีวภาพระดับปริญญาตรี</v>
      </c>
      <c r="B6" s="41">
        <f>'t3'!B389</f>
        <v>1941012.3199999998</v>
      </c>
      <c r="C6" s="41">
        <f>'t3'!C389</f>
        <v>903962.62</v>
      </c>
      <c r="D6" s="41">
        <f>'t3'!D389</f>
        <v>0</v>
      </c>
      <c r="E6" s="41">
        <f>'t3'!E389</f>
        <v>0</v>
      </c>
      <c r="F6" s="41">
        <f>'t3'!F389</f>
        <v>2844974.94</v>
      </c>
      <c r="G6" s="41">
        <f>'t3'!G389</f>
        <v>591.70000000000005</v>
      </c>
      <c r="H6" s="154" t="str">
        <f>'t3'!H389</f>
        <v>FTES</v>
      </c>
      <c r="I6" s="41">
        <f>'t3'!I389</f>
        <v>4808.1374683116437</v>
      </c>
      <c r="J6" s="126">
        <v>3048100</v>
      </c>
      <c r="K6" s="126">
        <v>1227300</v>
      </c>
      <c r="L6" s="130">
        <v>0</v>
      </c>
      <c r="M6" s="130">
        <v>0</v>
      </c>
      <c r="N6" s="126">
        <f t="shared" si="0"/>
        <v>4275400</v>
      </c>
      <c r="O6" s="130">
        <v>501.39</v>
      </c>
      <c r="P6" s="131" t="s">
        <v>44</v>
      </c>
      <c r="Q6" s="126">
        <v>8527.11</v>
      </c>
      <c r="R6" s="126">
        <f t="shared" ref="R6:R19" si="3">SUM(F6-N6)/N6*100</f>
        <v>-33.457104832296395</v>
      </c>
      <c r="S6" s="126">
        <f t="shared" si="1"/>
        <v>18.011926843375427</v>
      </c>
      <c r="T6" s="126">
        <f t="shared" si="2"/>
        <v>-43.613516557055746</v>
      </c>
    </row>
    <row r="7" spans="1:20" x14ac:dyDescent="0.3">
      <c r="A7" s="129" t="str">
        <f>'t3'!A390</f>
        <v>4.การจัดการเรียนการสอนกลุ่มสาขาวิชาวิทยาศาสตร์กายภาพและชีวภาพระดับปริญญาโท</v>
      </c>
      <c r="B7" s="41">
        <f>'t3'!B390</f>
        <v>70766.7</v>
      </c>
      <c r="C7" s="41">
        <f>'t3'!C390</f>
        <v>37868</v>
      </c>
      <c r="D7" s="41">
        <f>'t3'!D390</f>
        <v>0</v>
      </c>
      <c r="E7" s="41">
        <f>'t3'!E390</f>
        <v>0</v>
      </c>
      <c r="F7" s="41">
        <f>'t3'!F390</f>
        <v>108634.7</v>
      </c>
      <c r="G7" s="41">
        <f>'t3'!G390</f>
        <v>1</v>
      </c>
      <c r="H7" s="154" t="str">
        <f>'t3'!H390</f>
        <v>FTES</v>
      </c>
      <c r="I7" s="41">
        <f>'t3'!I390</f>
        <v>108634.7</v>
      </c>
      <c r="J7" s="126">
        <v>86900</v>
      </c>
      <c r="K7" s="126">
        <v>11000</v>
      </c>
      <c r="L7" s="130">
        <v>0</v>
      </c>
      <c r="M7" s="130">
        <v>0</v>
      </c>
      <c r="N7" s="126">
        <f t="shared" si="0"/>
        <v>97900</v>
      </c>
      <c r="O7" s="130">
        <v>0.57999999999999996</v>
      </c>
      <c r="P7" s="131" t="s">
        <v>44</v>
      </c>
      <c r="Q7" s="126">
        <v>167828.57</v>
      </c>
      <c r="R7" s="126">
        <f t="shared" si="3"/>
        <v>10.964964249233908</v>
      </c>
      <c r="S7" s="126">
        <f t="shared" si="1"/>
        <v>72.413793103448285</v>
      </c>
      <c r="T7" s="126">
        <f t="shared" si="2"/>
        <v>-35.270436970296537</v>
      </c>
    </row>
    <row r="8" spans="1:20" x14ac:dyDescent="0.3">
      <c r="A8" s="129" t="str">
        <f>'t3'!A391</f>
        <v>5.การจัดการเรียนการสอนกลุ่มสาขาวิชามนุษยศาสตร์และสังคมศาสตร์ระดับปริญญาตรี</v>
      </c>
      <c r="B8" s="41">
        <f>'t3'!B391</f>
        <v>2925898.71</v>
      </c>
      <c r="C8" s="41">
        <f>'t3'!C391</f>
        <v>2198026.81</v>
      </c>
      <c r="D8" s="41">
        <f>'t3'!D391</f>
        <v>0</v>
      </c>
      <c r="E8" s="41">
        <f>'t3'!E391</f>
        <v>0</v>
      </c>
      <c r="F8" s="41">
        <f>'t3'!F391</f>
        <v>5123925.5199999996</v>
      </c>
      <c r="G8" s="41">
        <f>'t3'!G391</f>
        <v>1537.05</v>
      </c>
      <c r="H8" s="154" t="str">
        <f>'t3'!H391</f>
        <v>FTES</v>
      </c>
      <c r="I8" s="41">
        <f>'t3'!I391</f>
        <v>3333.6101753358703</v>
      </c>
      <c r="J8" s="126">
        <v>7152300</v>
      </c>
      <c r="K8" s="126">
        <v>2099400</v>
      </c>
      <c r="L8" s="130">
        <v>0</v>
      </c>
      <c r="M8" s="130">
        <v>0</v>
      </c>
      <c r="N8" s="126">
        <f t="shared" si="0"/>
        <v>9251700</v>
      </c>
      <c r="O8" s="126">
        <v>1419.28</v>
      </c>
      <c r="P8" s="131" t="s">
        <v>44</v>
      </c>
      <c r="Q8" s="126">
        <v>6518.6</v>
      </c>
      <c r="R8" s="126">
        <f t="shared" si="3"/>
        <v>-44.616389204146266</v>
      </c>
      <c r="S8" s="126">
        <f t="shared" si="1"/>
        <v>8.2978693422016789</v>
      </c>
      <c r="T8" s="126">
        <f t="shared" si="2"/>
        <v>-48.860028605285336</v>
      </c>
    </row>
    <row r="9" spans="1:20" x14ac:dyDescent="0.3">
      <c r="A9" s="129" t="str">
        <f>'t3'!A392</f>
        <v>6.การจัดการเรียนการสอนกลุ่มสาขาวิชามนุษยศาสตร์และสังคมศาสตร์ระดับปริญญาโท</v>
      </c>
      <c r="B9" s="41">
        <f>'t3'!B392</f>
        <v>0</v>
      </c>
      <c r="C9" s="41">
        <f>'t3'!C392</f>
        <v>43655</v>
      </c>
      <c r="D9" s="41">
        <f>'t3'!D392</f>
        <v>0</v>
      </c>
      <c r="E9" s="41">
        <f>'t3'!E392</f>
        <v>0</v>
      </c>
      <c r="F9" s="41">
        <f>'t3'!F392</f>
        <v>43655</v>
      </c>
      <c r="G9" s="41">
        <f>'t3'!G392</f>
        <v>2.63</v>
      </c>
      <c r="H9" s="154" t="str">
        <f>'t3'!H392</f>
        <v>FTES</v>
      </c>
      <c r="I9" s="41">
        <f>'t3'!I392</f>
        <v>16598.859315589354</v>
      </c>
      <c r="J9" s="126">
        <v>27000</v>
      </c>
      <c r="K9" s="126">
        <v>779500</v>
      </c>
      <c r="L9" s="130">
        <v>0</v>
      </c>
      <c r="M9" s="130">
        <v>0</v>
      </c>
      <c r="N9" s="126">
        <f t="shared" si="0"/>
        <v>806500</v>
      </c>
      <c r="O9" s="130">
        <v>1.5</v>
      </c>
      <c r="P9" s="131" t="s">
        <v>44</v>
      </c>
      <c r="Q9" s="126">
        <v>537666.67000000004</v>
      </c>
      <c r="R9" s="126">
        <f t="shared" si="3"/>
        <v>-94.587104773713577</v>
      </c>
      <c r="S9" s="126">
        <f>SUM(G9-O9)/O9*100</f>
        <v>75.333333333333329</v>
      </c>
      <c r="T9" s="126">
        <f t="shared" si="2"/>
        <v>-96.912797418595915</v>
      </c>
    </row>
    <row r="10" spans="1:20" x14ac:dyDescent="0.3">
      <c r="A10" s="129" t="str">
        <f>'t3'!A393</f>
        <v>7.การจัดการเรียนการสอนกลุ่มสาขาวิชามนุษยศาสตร์และสังคมศาสตร์ระดับปริญญาเอก</v>
      </c>
      <c r="B10" s="41">
        <f>'t3'!B393</f>
        <v>0</v>
      </c>
      <c r="C10" s="41">
        <f>'t3'!C393</f>
        <v>696114</v>
      </c>
      <c r="D10" s="41">
        <f>'t3'!D393</f>
        <v>0</v>
      </c>
      <c r="E10" s="41">
        <f>'t3'!E393</f>
        <v>0</v>
      </c>
      <c r="F10" s="41">
        <f>'t3'!F393</f>
        <v>696114</v>
      </c>
      <c r="G10" s="41">
        <f>'t3'!G393</f>
        <v>4.88</v>
      </c>
      <c r="H10" s="154" t="str">
        <f>'t3'!H393</f>
        <v>FTES</v>
      </c>
      <c r="I10" s="41">
        <f>'t3'!I393</f>
        <v>142646.31147540984</v>
      </c>
      <c r="J10" s="130">
        <v>0</v>
      </c>
      <c r="K10" s="126">
        <v>869100</v>
      </c>
      <c r="L10" s="130">
        <v>0</v>
      </c>
      <c r="M10" s="130">
        <v>0</v>
      </c>
      <c r="N10" s="126">
        <f t="shared" si="0"/>
        <v>869100</v>
      </c>
      <c r="O10" s="130">
        <v>21.75</v>
      </c>
      <c r="P10" s="131" t="s">
        <v>44</v>
      </c>
      <c r="Q10" s="126">
        <v>39958.620000000003</v>
      </c>
      <c r="R10" s="126">
        <f t="shared" si="3"/>
        <v>-19.904038660683465</v>
      </c>
      <c r="S10" s="126">
        <f t="shared" si="1"/>
        <v>-77.563218390804593</v>
      </c>
      <c r="T10" s="126">
        <f t="shared" si="2"/>
        <v>256.98507975352965</v>
      </c>
    </row>
    <row r="11" spans="1:20" x14ac:dyDescent="0.3">
      <c r="A11" s="129" t="str">
        <f>'t3'!A394</f>
        <v>8.การจัดการเรียนการสอนกลุ่มสาขาวิชาบริหารระดับปริญญาตรี</v>
      </c>
      <c r="B11" s="41">
        <f>'t3'!B394</f>
        <v>622152</v>
      </c>
      <c r="C11" s="41">
        <f>'t3'!C394</f>
        <v>368369</v>
      </c>
      <c r="D11" s="41">
        <f>'t3'!D394</f>
        <v>0</v>
      </c>
      <c r="E11" s="41">
        <f>'t3'!E394</f>
        <v>0</v>
      </c>
      <c r="F11" s="41">
        <f>'t3'!F394</f>
        <v>990521</v>
      </c>
      <c r="G11" s="41">
        <f>'t3'!G394</f>
        <v>705.83</v>
      </c>
      <c r="H11" s="154" t="str">
        <f>'t3'!H394</f>
        <v>FTES</v>
      </c>
      <c r="I11" s="41">
        <f>'t3'!I394</f>
        <v>1403.3421645438702</v>
      </c>
      <c r="J11" s="126">
        <v>2740000</v>
      </c>
      <c r="K11" s="126">
        <v>1368100</v>
      </c>
      <c r="L11" s="130">
        <v>0</v>
      </c>
      <c r="M11" s="130">
        <v>0</v>
      </c>
      <c r="N11" s="126">
        <f t="shared" si="0"/>
        <v>4108100</v>
      </c>
      <c r="O11" s="130">
        <v>640.86</v>
      </c>
      <c r="P11" s="131" t="s">
        <v>44</v>
      </c>
      <c r="Q11" s="126">
        <v>6410.28</v>
      </c>
      <c r="R11" s="126">
        <f t="shared" si="3"/>
        <v>-75.888585964314402</v>
      </c>
      <c r="S11" s="126">
        <f t="shared" si="1"/>
        <v>10.137939643603913</v>
      </c>
      <c r="T11" s="126">
        <f t="shared" si="2"/>
        <v>-78.107942795886132</v>
      </c>
    </row>
    <row r="12" spans="1:20" x14ac:dyDescent="0.3">
      <c r="A12" s="129" t="str">
        <f>'t3'!A395</f>
        <v>9.การจัดการเรียนการสอนกลุ่มสาขาวิชาบริหารระดับปริญญาโท</v>
      </c>
      <c r="B12" s="41">
        <f>'t3'!B395</f>
        <v>0</v>
      </c>
      <c r="C12" s="41">
        <f>'t3'!C395</f>
        <v>901886</v>
      </c>
      <c r="D12" s="41">
        <f>'t3'!D395</f>
        <v>0</v>
      </c>
      <c r="E12" s="41">
        <f>'t3'!E395</f>
        <v>0</v>
      </c>
      <c r="F12" s="41">
        <f>'t3'!F395</f>
        <v>901886</v>
      </c>
      <c r="G12" s="41">
        <f>'t3'!G395</f>
        <v>19.13</v>
      </c>
      <c r="H12" s="154" t="str">
        <f>'t3'!H395</f>
        <v>FTES</v>
      </c>
      <c r="I12" s="41">
        <f>'t3'!I395</f>
        <v>47145.112388917929</v>
      </c>
      <c r="J12" s="130">
        <v>0</v>
      </c>
      <c r="K12" s="126">
        <v>913700</v>
      </c>
      <c r="L12" s="130">
        <v>0</v>
      </c>
      <c r="M12" s="130">
        <v>0</v>
      </c>
      <c r="N12" s="126">
        <f t="shared" si="0"/>
        <v>913700</v>
      </c>
      <c r="O12" s="130">
        <v>5.63</v>
      </c>
      <c r="P12" s="131" t="s">
        <v>44</v>
      </c>
      <c r="Q12" s="126">
        <v>162435.56</v>
      </c>
      <c r="R12" s="126">
        <f t="shared" si="3"/>
        <v>-1.2929845682390282</v>
      </c>
      <c r="S12" s="126">
        <f t="shared" si="1"/>
        <v>239.78685612788632</v>
      </c>
      <c r="T12" s="126">
        <f t="shared" si="2"/>
        <v>-70.976113611503592</v>
      </c>
    </row>
    <row r="13" spans="1:20" ht="18.75" customHeight="1" x14ac:dyDescent="0.3">
      <c r="A13" s="129" t="str">
        <f>'t3'!A396</f>
        <v>10.การจัดการเรียนการสอนกลุ่มสาขาวิชาบริหารระดับปริญญาเอก</v>
      </c>
      <c r="B13" s="41">
        <f>'t3'!B396</f>
        <v>0</v>
      </c>
      <c r="C13" s="41">
        <f>'t3'!C396</f>
        <v>1593120.36</v>
      </c>
      <c r="D13" s="41">
        <f>'t3'!D396</f>
        <v>0</v>
      </c>
      <c r="E13" s="41">
        <f>'t3'!E396</f>
        <v>0</v>
      </c>
      <c r="F13" s="41">
        <f>'t3'!F396</f>
        <v>1593120.36</v>
      </c>
      <c r="G13" s="41">
        <f>'t3'!G396</f>
        <v>3.88</v>
      </c>
      <c r="H13" s="154" t="str">
        <f>'t3'!H396</f>
        <v>FTES</v>
      </c>
      <c r="I13" s="41">
        <f>'t3'!I396</f>
        <v>410598.03092783509</v>
      </c>
      <c r="J13" s="130">
        <v>0</v>
      </c>
      <c r="K13" s="126">
        <v>617100</v>
      </c>
      <c r="L13" s="130">
        <v>0</v>
      </c>
      <c r="M13" s="130">
        <v>0</v>
      </c>
      <c r="N13" s="126">
        <f t="shared" si="0"/>
        <v>617100</v>
      </c>
      <c r="O13" s="130">
        <v>10.76</v>
      </c>
      <c r="P13" s="131" t="s">
        <v>44</v>
      </c>
      <c r="Q13" s="126">
        <v>57351.3</v>
      </c>
      <c r="R13" s="126">
        <f t="shared" si="3"/>
        <v>158.16243072435589</v>
      </c>
      <c r="S13" s="126">
        <f t="shared" si="1"/>
        <v>-63.940520446096649</v>
      </c>
      <c r="T13" s="126">
        <f t="shared" si="2"/>
        <v>615.93500221936574</v>
      </c>
    </row>
    <row r="14" spans="1:20" ht="18.75" customHeight="1" x14ac:dyDescent="0.3">
      <c r="A14" s="129" t="str">
        <f>'t3'!A397</f>
        <v>11.การจัดการเรียนการสอนกลุ่มสาขาวิชาวิศวกรรมศาสตร์ระดับปริญญาตรี</v>
      </c>
      <c r="B14" s="41">
        <f>'t3'!B397</f>
        <v>607490.19999999995</v>
      </c>
      <c r="C14" s="41">
        <f>'t3'!C397</f>
        <v>846622.01</v>
      </c>
      <c r="D14" s="41">
        <f>'t3'!D397</f>
        <v>0</v>
      </c>
      <c r="E14" s="41">
        <f>'t3'!E397</f>
        <v>0</v>
      </c>
      <c r="F14" s="41">
        <f>'t3'!F397</f>
        <v>1454112.21</v>
      </c>
      <c r="G14" s="41">
        <f>'t3'!G397</f>
        <v>322.76</v>
      </c>
      <c r="H14" s="154" t="str">
        <f>'t3'!H397</f>
        <v>FTES</v>
      </c>
      <c r="I14" s="41">
        <f>'t3'!I397</f>
        <v>4505.2429359276239</v>
      </c>
      <c r="J14" s="126">
        <v>1433200</v>
      </c>
      <c r="K14" s="126">
        <v>800710</v>
      </c>
      <c r="L14" s="130">
        <v>0</v>
      </c>
      <c r="M14" s="130">
        <v>0</v>
      </c>
      <c r="N14" s="126">
        <f t="shared" si="0"/>
        <v>2233910</v>
      </c>
      <c r="O14" s="130">
        <v>293.58999999999997</v>
      </c>
      <c r="P14" s="131" t="s">
        <v>44</v>
      </c>
      <c r="Q14" s="126">
        <v>7608.83</v>
      </c>
      <c r="R14" s="126">
        <f t="shared" si="3"/>
        <v>-34.907305576321342</v>
      </c>
      <c r="S14" s="126">
        <f t="shared" si="1"/>
        <v>9.9356245103716123</v>
      </c>
      <c r="T14" s="126">
        <f t="shared" si="2"/>
        <v>-40.789281191357624</v>
      </c>
    </row>
    <row r="15" spans="1:20" ht="18.75" customHeight="1" x14ac:dyDescent="0.3">
      <c r="A15" s="129" t="str">
        <f>'t3'!A398</f>
        <v>12.การจัดการเรียนการสอนกลุ่มสาขาวิชาเกษตรศาสตร์ระดับปริญญาตรี</v>
      </c>
      <c r="B15" s="41">
        <f>'t3'!B398</f>
        <v>50094.400000000001</v>
      </c>
      <c r="C15" s="41">
        <f>'t3'!C398</f>
        <v>64027</v>
      </c>
      <c r="D15" s="41">
        <f>'t3'!D398</f>
        <v>0</v>
      </c>
      <c r="E15" s="41">
        <f>'t3'!E398</f>
        <v>0</v>
      </c>
      <c r="F15" s="41">
        <f>'t3'!F398</f>
        <v>114121.4</v>
      </c>
      <c r="G15" s="41">
        <f>'t3'!G398</f>
        <v>51.34</v>
      </c>
      <c r="H15" s="154" t="str">
        <f>'t3'!H398</f>
        <v>FTES</v>
      </c>
      <c r="I15" s="41">
        <f>'t3'!I398</f>
        <v>2222.8554733151536</v>
      </c>
      <c r="J15" s="126">
        <v>441500</v>
      </c>
      <c r="K15" s="126">
        <v>291600</v>
      </c>
      <c r="L15" s="130">
        <v>0</v>
      </c>
      <c r="M15" s="130">
        <v>0</v>
      </c>
      <c r="N15" s="126">
        <f t="shared" si="0"/>
        <v>733100</v>
      </c>
      <c r="O15" s="130">
        <v>45.98</v>
      </c>
      <c r="P15" s="131" t="s">
        <v>44</v>
      </c>
      <c r="Q15" s="126">
        <v>15945.04</v>
      </c>
      <c r="R15" s="126">
        <f t="shared" si="3"/>
        <v>-84.433037784749686</v>
      </c>
      <c r="S15" s="126">
        <f t="shared" si="1"/>
        <v>11.657242279251864</v>
      </c>
      <c r="T15" s="126">
        <f t="shared" si="2"/>
        <v>-86.059266873490728</v>
      </c>
    </row>
    <row r="16" spans="1:20" ht="18.75" customHeight="1" x14ac:dyDescent="0.3">
      <c r="A16" s="135" t="str">
        <f>'t3'!A399</f>
        <v>13.การบริการวิชาการ</v>
      </c>
      <c r="B16" s="136">
        <f>'t3'!B399</f>
        <v>10608141.77</v>
      </c>
      <c r="C16" s="136">
        <f>'t3'!C399</f>
        <v>1217467.96</v>
      </c>
      <c r="D16" s="136">
        <f>'t3'!D399</f>
        <v>0</v>
      </c>
      <c r="E16" s="136">
        <f>'t3'!E399</f>
        <v>0</v>
      </c>
      <c r="F16" s="136">
        <f>'t3'!F399</f>
        <v>11825609.73</v>
      </c>
      <c r="G16" s="136">
        <f>'t3'!G399</f>
        <v>196</v>
      </c>
      <c r="H16" s="149" t="str">
        <f>'t3'!H399</f>
        <v>โครงการ/กิจกรรม</v>
      </c>
      <c r="I16" s="136">
        <f>'t3'!I399</f>
        <v>60334.743520408163</v>
      </c>
      <c r="J16" s="137">
        <v>10122750</v>
      </c>
      <c r="K16" s="137">
        <v>2214160</v>
      </c>
      <c r="L16" s="138">
        <v>0</v>
      </c>
      <c r="M16" s="138">
        <v>0</v>
      </c>
      <c r="N16" s="137">
        <f t="shared" si="0"/>
        <v>12336910</v>
      </c>
      <c r="O16" s="138">
        <v>114</v>
      </c>
      <c r="P16" s="147" t="s">
        <v>315</v>
      </c>
      <c r="Q16" s="137">
        <v>108218.51</v>
      </c>
      <c r="R16" s="137">
        <f t="shared" si="3"/>
        <v>-4.1444759668344791</v>
      </c>
      <c r="S16" s="137">
        <f t="shared" si="1"/>
        <v>71.929824561403507</v>
      </c>
      <c r="T16" s="137">
        <f t="shared" si="2"/>
        <v>-44.247297878701005</v>
      </c>
    </row>
    <row r="17" spans="1:20" x14ac:dyDescent="0.3">
      <c r="A17" s="135" t="str">
        <f>'t3'!A400</f>
        <v>14.งานวิจัย</v>
      </c>
      <c r="B17" s="136">
        <f>'t3'!B400</f>
        <v>12105020</v>
      </c>
      <c r="C17" s="136">
        <f>'t3'!C400</f>
        <v>2444782.23</v>
      </c>
      <c r="D17" s="136">
        <f>'t3'!D400</f>
        <v>0</v>
      </c>
      <c r="E17" s="136">
        <f>'t3'!E400</f>
        <v>0</v>
      </c>
      <c r="F17" s="136">
        <f>'t3'!F400</f>
        <v>14549802.23</v>
      </c>
      <c r="G17" s="136">
        <f>'t3'!G400</f>
        <v>89</v>
      </c>
      <c r="H17" s="149" t="str">
        <f>'t3'!H400</f>
        <v>เรื่อง</v>
      </c>
      <c r="I17" s="136">
        <f>'t3'!I400</f>
        <v>163480.92393258426</v>
      </c>
      <c r="J17" s="137">
        <v>9319190</v>
      </c>
      <c r="K17" s="137">
        <v>3300000</v>
      </c>
      <c r="L17" s="138">
        <v>0</v>
      </c>
      <c r="M17" s="138">
        <v>0</v>
      </c>
      <c r="N17" s="137">
        <f t="shared" si="0"/>
        <v>12619190</v>
      </c>
      <c r="O17" s="138">
        <v>268</v>
      </c>
      <c r="P17" s="139" t="s">
        <v>45</v>
      </c>
      <c r="Q17" s="137">
        <v>47086.53</v>
      </c>
      <c r="R17" s="137">
        <f t="shared" si="3"/>
        <v>15.29901863748783</v>
      </c>
      <c r="S17" s="137">
        <f t="shared" si="1"/>
        <v>-66.791044776119406</v>
      </c>
      <c r="T17" s="137">
        <f t="shared" si="2"/>
        <v>247.19254940337345</v>
      </c>
    </row>
    <row r="18" spans="1:20" x14ac:dyDescent="0.3">
      <c r="A18" s="135" t="str">
        <f>'t3'!A401</f>
        <v>15.การทำนุบำรุงศิลปวัฒนธรรม</v>
      </c>
      <c r="B18" s="136">
        <f>'t3'!B401</f>
        <v>1921389</v>
      </c>
      <c r="C18" s="136">
        <f>'t3'!C401</f>
        <v>509294</v>
      </c>
      <c r="D18" s="136">
        <f>'t3'!D401</f>
        <v>0</v>
      </c>
      <c r="E18" s="136">
        <f>'t3'!E401</f>
        <v>0</v>
      </c>
      <c r="F18" s="136">
        <f>'t3'!F401</f>
        <v>2430683</v>
      </c>
      <c r="G18" s="136">
        <f>'t3'!G401</f>
        <v>61</v>
      </c>
      <c r="H18" s="149" t="str">
        <f>'t3'!H401</f>
        <v>โครงการ/กิจกรรม</v>
      </c>
      <c r="I18" s="136">
        <f>'t3'!I401</f>
        <v>39847.262295081964</v>
      </c>
      <c r="J18" s="137">
        <v>2294100</v>
      </c>
      <c r="K18" s="137">
        <v>703000</v>
      </c>
      <c r="L18" s="138">
        <v>0</v>
      </c>
      <c r="M18" s="138">
        <v>0</v>
      </c>
      <c r="N18" s="137">
        <f t="shared" si="0"/>
        <v>2997100</v>
      </c>
      <c r="O18" s="138">
        <v>57</v>
      </c>
      <c r="P18" s="147" t="s">
        <v>315</v>
      </c>
      <c r="Q18" s="137">
        <v>52580.7</v>
      </c>
      <c r="R18" s="137">
        <f t="shared" si="3"/>
        <v>-18.89883554102299</v>
      </c>
      <c r="S18" s="137">
        <f t="shared" si="1"/>
        <v>7.0175438596491224</v>
      </c>
      <c r="T18" s="137">
        <f t="shared" si="2"/>
        <v>-24.216942157327754</v>
      </c>
    </row>
    <row r="19" spans="1:20" x14ac:dyDescent="0.3">
      <c r="A19" s="135" t="str">
        <f>'t3'!A402</f>
        <v>16.สนับสนุนการจัดการเรียนการสอน</v>
      </c>
      <c r="B19" s="136">
        <f>'t3'!B402</f>
        <v>336209099.75999999</v>
      </c>
      <c r="C19" s="136">
        <f>'t3'!C402</f>
        <v>72415724.129999995</v>
      </c>
      <c r="D19" s="140">
        <f>'t3'!D402</f>
        <v>5042300.47</v>
      </c>
      <c r="E19" s="136">
        <f>'t3'!E402</f>
        <v>59094185.75</v>
      </c>
      <c r="F19" s="136">
        <f>'t3'!F402</f>
        <v>472761310.11000001</v>
      </c>
      <c r="G19" s="136">
        <f>'t3'!G402</f>
        <v>4498.920000000001</v>
      </c>
      <c r="H19" s="149" t="str">
        <f>'t3'!H402</f>
        <v>FTES</v>
      </c>
      <c r="I19" s="136">
        <f>'t3'!I402</f>
        <v>105083.28890266996</v>
      </c>
      <c r="J19" s="137">
        <v>316914900</v>
      </c>
      <c r="K19" s="137">
        <v>63486670</v>
      </c>
      <c r="L19" s="137">
        <v>105000</v>
      </c>
      <c r="M19" s="137">
        <v>115104046.02</v>
      </c>
      <c r="N19" s="137">
        <f t="shared" si="0"/>
        <v>495610616.01999998</v>
      </c>
      <c r="O19" s="137">
        <v>4016.63</v>
      </c>
      <c r="P19" s="139" t="s">
        <v>44</v>
      </c>
      <c r="Q19" s="137">
        <v>121508.29</v>
      </c>
      <c r="R19" s="137">
        <f t="shared" si="3"/>
        <v>-4.6103342364800959</v>
      </c>
      <c r="S19" s="137">
        <f t="shared" si="1"/>
        <v>12.007329527489484</v>
      </c>
      <c r="T19" s="137">
        <f t="shared" si="2"/>
        <v>-13.517597109900928</v>
      </c>
    </row>
    <row r="20" spans="1:20" ht="18.75" customHeight="1" x14ac:dyDescent="0.3">
      <c r="A20" s="141" t="s">
        <v>3</v>
      </c>
      <c r="B20" s="142">
        <f>SUM(B4:B19)</f>
        <v>369216575.06</v>
      </c>
      <c r="C20" s="142">
        <f>SUM(C4:C19)</f>
        <v>88771906.329999998</v>
      </c>
      <c r="D20" s="142">
        <f>SUM(D4:D19)</f>
        <v>5042300.47</v>
      </c>
      <c r="E20" s="142">
        <f>SUM(E4:E19)</f>
        <v>59094185.75</v>
      </c>
      <c r="F20" s="142">
        <f>SUM(F4:F19)</f>
        <v>522124967.61000001</v>
      </c>
      <c r="G20" s="142"/>
      <c r="H20" s="143"/>
      <c r="I20" s="143"/>
      <c r="J20" s="144">
        <f>SUM(J4:J19)</f>
        <v>358639400</v>
      </c>
      <c r="K20" s="144">
        <f t="shared" ref="K20:N20" si="4">SUM(K4:K19)</f>
        <v>82852980</v>
      </c>
      <c r="L20" s="144">
        <f t="shared" si="4"/>
        <v>105000</v>
      </c>
      <c r="M20" s="144">
        <f t="shared" si="4"/>
        <v>115104046.02</v>
      </c>
      <c r="N20" s="144">
        <f t="shared" si="4"/>
        <v>556701426.01999998</v>
      </c>
      <c r="O20" s="145"/>
      <c r="P20" s="145"/>
      <c r="Q20" s="144">
        <f>SUM(Q4:Q19)</f>
        <v>1353438.8</v>
      </c>
      <c r="R20" s="145"/>
      <c r="S20" s="145"/>
      <c r="T20" s="145"/>
    </row>
    <row r="22" spans="1:20" x14ac:dyDescent="0.3">
      <c r="A22" s="94" t="s">
        <v>118</v>
      </c>
    </row>
    <row r="23" spans="1:20" x14ac:dyDescent="0.3">
      <c r="A23" s="93" t="s">
        <v>302</v>
      </c>
    </row>
    <row r="24" spans="1:20" x14ac:dyDescent="0.3">
      <c r="A24" s="93" t="s">
        <v>353</v>
      </c>
    </row>
    <row r="25" spans="1:20" x14ac:dyDescent="0.3">
      <c r="A25" s="93" t="s">
        <v>327</v>
      </c>
    </row>
    <row r="26" spans="1:20" x14ac:dyDescent="0.3">
      <c r="A26" s="93" t="s">
        <v>354</v>
      </c>
    </row>
    <row r="27" spans="1:20" x14ac:dyDescent="0.3">
      <c r="A27" s="93" t="s">
        <v>335</v>
      </c>
    </row>
    <row r="28" spans="1:20" x14ac:dyDescent="0.3">
      <c r="A28" s="93" t="s">
        <v>356</v>
      </c>
    </row>
    <row r="29" spans="1:20" x14ac:dyDescent="0.3">
      <c r="A29" s="93" t="s">
        <v>357</v>
      </c>
    </row>
    <row r="30" spans="1:20" x14ac:dyDescent="0.3">
      <c r="A30" s="93" t="s">
        <v>355</v>
      </c>
    </row>
    <row r="31" spans="1:20" x14ac:dyDescent="0.3">
      <c r="A31" s="93" t="s">
        <v>345</v>
      </c>
    </row>
    <row r="32" spans="1:20" x14ac:dyDescent="0.3">
      <c r="A32" s="93" t="s">
        <v>346</v>
      </c>
    </row>
    <row r="33" spans="1:1" x14ac:dyDescent="0.3">
      <c r="A33" s="93" t="s">
        <v>358</v>
      </c>
    </row>
    <row r="34" spans="1:1" x14ac:dyDescent="0.3">
      <c r="A34" s="93" t="s">
        <v>349</v>
      </c>
    </row>
    <row r="35" spans="1:1" x14ac:dyDescent="0.3">
      <c r="A35" s="93" t="s">
        <v>338</v>
      </c>
    </row>
    <row r="36" spans="1:1" x14ac:dyDescent="0.3">
      <c r="A36" s="93" t="s">
        <v>317</v>
      </c>
    </row>
    <row r="37" spans="1:1" x14ac:dyDescent="0.3">
      <c r="A37" s="93" t="s">
        <v>316</v>
      </c>
    </row>
    <row r="38" spans="1:1" x14ac:dyDescent="0.3">
      <c r="A38" s="93" t="s">
        <v>318</v>
      </c>
    </row>
    <row r="39" spans="1:1" x14ac:dyDescent="0.3">
      <c r="A39" s="93" t="s">
        <v>359</v>
      </c>
    </row>
  </sheetData>
  <mergeCells count="7">
    <mergeCell ref="J2:Q2"/>
    <mergeCell ref="R2:R3"/>
    <mergeCell ref="S2:S3"/>
    <mergeCell ref="T2:T3"/>
    <mergeCell ref="A1:I1"/>
    <mergeCell ref="B2:I2"/>
    <mergeCell ref="A2:A3"/>
  </mergeCells>
  <pageMargins left="0.39370078740157483" right="0" top="0.39370078740157483" bottom="0" header="0" footer="0"/>
  <pageSetup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73"/>
  <sheetViews>
    <sheetView tabSelected="1" view="pageBreakPreview" zoomScaleSheetLayoutView="100" workbookViewId="0">
      <selection activeCell="C8" sqref="C8"/>
    </sheetView>
  </sheetViews>
  <sheetFormatPr defaultColWidth="15.5" defaultRowHeight="18" x14ac:dyDescent="0.25"/>
  <cols>
    <col min="1" max="1" width="35.25" style="3" customWidth="1"/>
    <col min="2" max="2" width="13.625" style="3" bestFit="1" customWidth="1"/>
    <col min="3" max="3" width="15.375" style="3" bestFit="1" customWidth="1"/>
    <col min="4" max="4" width="11.375" style="3" customWidth="1"/>
    <col min="5" max="5" width="11.75" style="3" customWidth="1"/>
    <col min="6" max="6" width="15.625" style="3" bestFit="1" customWidth="1"/>
    <col min="7" max="7" width="7.5" style="3" customWidth="1"/>
    <col min="8" max="8" width="11" style="3" customWidth="1"/>
    <col min="9" max="9" width="12.375" style="3" bestFit="1" customWidth="1"/>
    <col min="10" max="10" width="14.375" style="3" customWidth="1"/>
    <col min="11" max="11" width="13.375" style="3" customWidth="1"/>
    <col min="12" max="12" width="10.875" style="3" bestFit="1" customWidth="1"/>
    <col min="13" max="13" width="11.875" style="3" bestFit="1" customWidth="1"/>
    <col min="14" max="14" width="12.75" style="3" bestFit="1" customWidth="1"/>
    <col min="15" max="15" width="7.25" style="3" bestFit="1" customWidth="1"/>
    <col min="16" max="16" width="10.125" style="3" bestFit="1" customWidth="1"/>
    <col min="17" max="17" width="10.5" style="3" bestFit="1" customWidth="1"/>
    <col min="18" max="19" width="8.25" style="3" customWidth="1"/>
    <col min="20" max="20" width="12.875" style="3" customWidth="1"/>
    <col min="21" max="16384" width="15.5" style="3"/>
  </cols>
  <sheetData>
    <row r="1" spans="1:20" ht="18.75" x14ac:dyDescent="0.3">
      <c r="A1" s="8" t="s">
        <v>303</v>
      </c>
      <c r="T1" s="4" t="s">
        <v>10</v>
      </c>
    </row>
    <row r="2" spans="1:20" ht="18.75" x14ac:dyDescent="0.3">
      <c r="A2" s="212" t="s">
        <v>50</v>
      </c>
      <c r="B2" s="210" t="s">
        <v>304</v>
      </c>
      <c r="C2" s="210"/>
      <c r="D2" s="210"/>
      <c r="E2" s="210"/>
      <c r="F2" s="210"/>
      <c r="G2" s="210"/>
      <c r="H2" s="210"/>
      <c r="I2" s="210"/>
      <c r="J2" s="210" t="s">
        <v>305</v>
      </c>
      <c r="K2" s="210"/>
      <c r="L2" s="210"/>
      <c r="M2" s="210"/>
      <c r="N2" s="210"/>
      <c r="O2" s="210"/>
      <c r="P2" s="210"/>
      <c r="Q2" s="210"/>
      <c r="R2" s="211" t="s">
        <v>113</v>
      </c>
      <c r="S2" s="211" t="s">
        <v>114</v>
      </c>
      <c r="T2" s="211" t="s">
        <v>115</v>
      </c>
    </row>
    <row r="3" spans="1:20" ht="18.75" x14ac:dyDescent="0.25">
      <c r="A3" s="213"/>
      <c r="B3" s="7" t="s">
        <v>1</v>
      </c>
      <c r="C3" s="7" t="s">
        <v>2</v>
      </c>
      <c r="D3" s="7" t="s">
        <v>4</v>
      </c>
      <c r="E3" s="7" t="s">
        <v>5</v>
      </c>
      <c r="F3" s="7" t="s">
        <v>6</v>
      </c>
      <c r="G3" s="7" t="s">
        <v>42</v>
      </c>
      <c r="H3" s="7" t="s">
        <v>43</v>
      </c>
      <c r="I3" s="7" t="s">
        <v>11</v>
      </c>
      <c r="J3" s="7" t="s">
        <v>1</v>
      </c>
      <c r="K3" s="7" t="s">
        <v>2</v>
      </c>
      <c r="L3" s="7" t="s">
        <v>4</v>
      </c>
      <c r="M3" s="7" t="s">
        <v>5</v>
      </c>
      <c r="N3" s="7" t="s">
        <v>6</v>
      </c>
      <c r="O3" s="7" t="s">
        <v>42</v>
      </c>
      <c r="P3" s="7" t="s">
        <v>43</v>
      </c>
      <c r="Q3" s="7" t="s">
        <v>11</v>
      </c>
      <c r="R3" s="211"/>
      <c r="S3" s="211"/>
      <c r="T3" s="211"/>
    </row>
    <row r="4" spans="1:20" ht="18.75" x14ac:dyDescent="0.3">
      <c r="A4" s="61" t="str">
        <f>'t4'!A3</f>
        <v>1.การจัดการเรียนระดับปริญญาตรี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7"/>
      <c r="S4" s="67"/>
      <c r="T4" s="67"/>
    </row>
    <row r="5" spans="1:20" ht="18.75" x14ac:dyDescent="0.3">
      <c r="A5" s="21" t="str">
        <f>'t4'!A4</f>
        <v xml:space="preserve">  1.1 กลุ่มสาขาวิชาครุศาสตร์/ศึกษาศาสตร์</v>
      </c>
      <c r="B5" s="22">
        <f>'t4'!B4</f>
        <v>94305643.748286784</v>
      </c>
      <c r="C5" s="22">
        <f>'t4'!C4</f>
        <v>20880381.274968591</v>
      </c>
      <c r="D5" s="22">
        <f>'t4'!D4</f>
        <v>1382022.860275866</v>
      </c>
      <c r="E5" s="22">
        <f>'t4'!E4</f>
        <v>16196876.029462071</v>
      </c>
      <c r="F5" s="22">
        <f>'t4'!F4</f>
        <v>132764923.91299331</v>
      </c>
      <c r="G5" s="22">
        <f>'t4'!G4</f>
        <v>1233.0899999999999</v>
      </c>
      <c r="H5" s="155" t="str">
        <f>'t4'!H4</f>
        <v>FTES</v>
      </c>
      <c r="I5" s="22">
        <f>'t4'!I4</f>
        <v>107668.47830490339</v>
      </c>
      <c r="J5" s="34">
        <f>[1]t8!$B$5</f>
        <v>82379774.431003109</v>
      </c>
      <c r="K5" s="34">
        <f>[1]t8!$C$5</f>
        <v>19199000.981693611</v>
      </c>
      <c r="L5" s="22">
        <f>O5/4016.63*105000</f>
        <v>25617.706883631301</v>
      </c>
      <c r="M5" s="22">
        <f>O5/4016.63*115104046.02</f>
        <v>28082873.448193982</v>
      </c>
      <c r="N5" s="22">
        <f>SUM(J5:M5)</f>
        <v>129687266.56777433</v>
      </c>
      <c r="O5" s="22">
        <v>979.97</v>
      </c>
      <c r="P5" s="23" t="s">
        <v>44</v>
      </c>
      <c r="Q5" s="22">
        <f>SUM(N5/O5)</f>
        <v>132337.99664048321</v>
      </c>
      <c r="R5" s="34">
        <f>SUM(F5-N5)/N5*100</f>
        <v>2.3731376461779372</v>
      </c>
      <c r="S5" s="34">
        <f>SUM(G5-O5)/O5*100</f>
        <v>25.829362123330295</v>
      </c>
      <c r="T5" s="34">
        <f>SUM(I5-Q5)/Q5*100</f>
        <v>-18.641296499748606</v>
      </c>
    </row>
    <row r="6" spans="1:20" ht="18.75" x14ac:dyDescent="0.3">
      <c r="A6" s="21" t="str">
        <f>'t4'!A5</f>
        <v xml:space="preserve">  1.2 กลุ่มสาขาวิชาวิทยาศาสตร์กายภาพและชีวภาพ</v>
      </c>
      <c r="B6" s="22">
        <f>'t4'!B5</f>
        <v>46159385.691385135</v>
      </c>
      <c r="C6" s="22">
        <f>'t4'!C5</f>
        <v>10428111.519673921</v>
      </c>
      <c r="D6" s="22">
        <f>'t4'!D5</f>
        <v>663165.64599926199</v>
      </c>
      <c r="E6" s="22">
        <f>'t4'!E5</f>
        <v>7772094.1266515078</v>
      </c>
      <c r="F6" s="22">
        <f>'t4'!F5</f>
        <v>65022756.983709827</v>
      </c>
      <c r="G6" s="22">
        <f>'t4'!G5</f>
        <v>591.70000000000005</v>
      </c>
      <c r="H6" s="155" t="str">
        <f>'t4'!H5</f>
        <v>FTES</v>
      </c>
      <c r="I6" s="22">
        <f>'t4'!I5</f>
        <v>109891.42637098162</v>
      </c>
      <c r="J6" s="34">
        <f>[1]t8!$B$6</f>
        <v>42608119.646071456</v>
      </c>
      <c r="K6" s="34">
        <f>[1]t8!$C$6</f>
        <v>9152247.3990136012</v>
      </c>
      <c r="L6" s="22">
        <f t="shared" ref="L6:L18" si="0">O6/4016.63*105000</f>
        <v>13106.99516759074</v>
      </c>
      <c r="M6" s="22">
        <f t="shared" ref="M6:M18" si="1">O6/4016.63*115104046.02</f>
        <v>14368268.332897926</v>
      </c>
      <c r="N6" s="22">
        <f t="shared" ref="N6:N21" si="2">SUM(J6:M6)</f>
        <v>66141742.373150572</v>
      </c>
      <c r="O6" s="22">
        <v>501.39</v>
      </c>
      <c r="P6" s="23" t="s">
        <v>44</v>
      </c>
      <c r="Q6" s="22">
        <f t="shared" ref="Q6:Q21" si="3">SUM(N6/O6)</f>
        <v>131916.75616416478</v>
      </c>
      <c r="R6" s="34">
        <f t="shared" ref="R6:R18" si="4">SUM(F6-N6)/N6*100</f>
        <v>-1.6917990807193848</v>
      </c>
      <c r="S6" s="34">
        <f t="shared" ref="S6:S21" si="5">SUM(G6-O6)/O6*100</f>
        <v>18.011926843375427</v>
      </c>
      <c r="T6" s="34">
        <f>SUM(I6-Q6)/Q6*100</f>
        <v>-16.696385230829645</v>
      </c>
    </row>
    <row r="7" spans="1:20" ht="18.75" x14ac:dyDescent="0.3">
      <c r="A7" s="21" t="str">
        <f>'t4'!A6</f>
        <v xml:space="preserve">  1.3 กลุ่มสาขาวิชามนุษศาสตร์และสังคมศาสตร์</v>
      </c>
      <c r="B7" s="22">
        <f>'t4'!B6</f>
        <v>117791287.91143234</v>
      </c>
      <c r="C7" s="22">
        <f>'t4'!C6</f>
        <v>26938762.091804631</v>
      </c>
      <c r="D7" s="22">
        <f>'t4'!D6</f>
        <v>1722695.2107202394</v>
      </c>
      <c r="E7" s="22">
        <f>'t4'!E6</f>
        <v>20189449.513891667</v>
      </c>
      <c r="F7" s="22">
        <f>'t4'!F6</f>
        <v>166642194.72784889</v>
      </c>
      <c r="G7" s="22">
        <f>'t4'!G6</f>
        <v>1537.05</v>
      </c>
      <c r="H7" s="155" t="str">
        <f>'t4'!H6</f>
        <v>FTES</v>
      </c>
      <c r="I7" s="22">
        <f>'t4'!I6</f>
        <v>108416.89907800585</v>
      </c>
      <c r="J7" s="34">
        <f>[1]t8!$B$7</f>
        <v>119134478.90918507</v>
      </c>
      <c r="K7" s="34">
        <f>[1]t8!$C$7</f>
        <v>24532474.741163611</v>
      </c>
      <c r="L7" s="22">
        <f t="shared" si="0"/>
        <v>37101.84906252256</v>
      </c>
      <c r="M7" s="22">
        <f t="shared" si="1"/>
        <v>40672123.256378002</v>
      </c>
      <c r="N7" s="22">
        <f t="shared" si="2"/>
        <v>184376178.75578919</v>
      </c>
      <c r="O7" s="22">
        <v>1419.28</v>
      </c>
      <c r="P7" s="23" t="s">
        <v>44</v>
      </c>
      <c r="Q7" s="22">
        <f t="shared" si="3"/>
        <v>129908.24837649315</v>
      </c>
      <c r="R7" s="34">
        <f t="shared" si="4"/>
        <v>-9.6183705224900038</v>
      </c>
      <c r="S7" s="34">
        <f t="shared" si="5"/>
        <v>8.2978693422016789</v>
      </c>
      <c r="T7" s="34">
        <f t="shared" ref="T7:T21" si="6">SUM(I7-Q7)/Q7*100</f>
        <v>-16.543483240727117</v>
      </c>
    </row>
    <row r="8" spans="1:20" ht="18.75" x14ac:dyDescent="0.3">
      <c r="A8" s="21" t="str">
        <f>'t4'!A7</f>
        <v xml:space="preserve">  1.4 กลุ่มสาขาวิชาบริหาร</v>
      </c>
      <c r="B8" s="22">
        <f>'t4'!B7</f>
        <v>53369582.246281505</v>
      </c>
      <c r="C8" s="22">
        <f>'t4'!C7</f>
        <v>11729582.482942106</v>
      </c>
      <c r="D8" s="22">
        <f>'t4'!D7</f>
        <v>791080.29054530861</v>
      </c>
      <c r="E8" s="22">
        <f>'t4'!E7</f>
        <v>9271213.786402626</v>
      </c>
      <c r="F8" s="22">
        <f>'t4'!F7</f>
        <v>75161458.806171536</v>
      </c>
      <c r="G8" s="22">
        <f>'t4'!G7</f>
        <v>705.83</v>
      </c>
      <c r="H8" s="155" t="str">
        <f>'t4'!H7</f>
        <v>FTES</v>
      </c>
      <c r="I8" s="22">
        <f>'t4'!I7</f>
        <v>106486.63106721382</v>
      </c>
      <c r="J8" s="34">
        <f>[1]t8!$B$8</f>
        <v>53304299.627797432</v>
      </c>
      <c r="K8" s="34">
        <f>[1]t8!$C$8</f>
        <v>11497503.837595198</v>
      </c>
      <c r="L8" s="22">
        <f t="shared" si="0"/>
        <v>16752.924715495326</v>
      </c>
      <c r="M8" s="22">
        <f t="shared" si="1"/>
        <v>18365042.070685424</v>
      </c>
      <c r="N8" s="22">
        <f t="shared" si="2"/>
        <v>83183598.460793555</v>
      </c>
      <c r="O8" s="22">
        <v>640.86</v>
      </c>
      <c r="P8" s="23" t="s">
        <v>44</v>
      </c>
      <c r="Q8" s="22">
        <f t="shared" si="3"/>
        <v>129799.95390692749</v>
      </c>
      <c r="R8" s="34">
        <f t="shared" si="4"/>
        <v>-9.6438959158553921</v>
      </c>
      <c r="S8" s="34">
        <f t="shared" si="5"/>
        <v>10.137939643603913</v>
      </c>
      <c r="T8" s="34">
        <f t="shared" si="6"/>
        <v>-17.960963881720936</v>
      </c>
    </row>
    <row r="9" spans="1:20" s="12" customFormat="1" ht="18.75" x14ac:dyDescent="0.3">
      <c r="A9" s="21" t="str">
        <f>'t4'!A8</f>
        <v xml:space="preserve">  1.5 กลุ่มสาขาวิชาวิศวกรรมศาสตร์</v>
      </c>
      <c r="B9" s="22">
        <f>'t4'!B8</f>
        <v>24727689.945391688</v>
      </c>
      <c r="C9" s="22">
        <f>'t4'!C8</f>
        <v>6041846.4461310701</v>
      </c>
      <c r="D9" s="22">
        <f>'t4'!D8</f>
        <v>361743.01825709274</v>
      </c>
      <c r="E9" s="22">
        <f>'t4'!E8</f>
        <v>4239515.1264459025</v>
      </c>
      <c r="F9" s="22">
        <f>'t4'!F8</f>
        <v>35370794.536225751</v>
      </c>
      <c r="G9" s="22">
        <f>'t4'!G8</f>
        <v>322.76</v>
      </c>
      <c r="H9" s="155" t="str">
        <f>'t4'!H8</f>
        <v>FTES</v>
      </c>
      <c r="I9" s="22">
        <f>'t4'!I8</f>
        <v>109588.53183859757</v>
      </c>
      <c r="J9" s="34">
        <f>[1]t8!$B$9</f>
        <v>24597655.150461949</v>
      </c>
      <c r="K9" s="34">
        <f>[1]t8!$C$9</f>
        <v>5441180.1068557464</v>
      </c>
      <c r="L9" s="22">
        <f t="shared" si="0"/>
        <v>7674.829396782874</v>
      </c>
      <c r="M9" s="22">
        <f t="shared" si="1"/>
        <v>8413370.629361378</v>
      </c>
      <c r="N9" s="22">
        <f t="shared" si="2"/>
        <v>38459880.71607586</v>
      </c>
      <c r="O9" s="22">
        <v>293.58999999999997</v>
      </c>
      <c r="P9" s="23" t="s">
        <v>44</v>
      </c>
      <c r="Q9" s="22">
        <f t="shared" si="3"/>
        <v>130998.605933703</v>
      </c>
      <c r="R9" s="34">
        <f t="shared" si="4"/>
        <v>-8.0319702566287479</v>
      </c>
      <c r="S9" s="34">
        <f t="shared" si="5"/>
        <v>9.9356245103716123</v>
      </c>
      <c r="T9" s="34">
        <f t="shared" si="6"/>
        <v>-16.343741937178205</v>
      </c>
    </row>
    <row r="10" spans="1:20" s="12" customFormat="1" ht="18.75" x14ac:dyDescent="0.3">
      <c r="A10" s="21" t="str">
        <f>'t4'!A9</f>
        <v xml:space="preserve">  1.6 กลุ่มสาขาวิชาเกษตรศาสตร์</v>
      </c>
      <c r="B10" s="22">
        <f>'t4'!B9</f>
        <v>3886787.4689317434</v>
      </c>
      <c r="C10" s="22">
        <f>'t4'!C9</f>
        <v>890408.28191525955</v>
      </c>
      <c r="D10" s="22">
        <f>'t4'!D9</f>
        <v>57540.855611969091</v>
      </c>
      <c r="E10" s="22">
        <f>'t4'!E9</f>
        <v>674360.84580410412</v>
      </c>
      <c r="F10" s="22">
        <f>'t4'!F9</f>
        <v>5509097.4522630759</v>
      </c>
      <c r="G10" s="22">
        <f>'t4'!G9</f>
        <v>51.34</v>
      </c>
      <c r="H10" s="155" t="str">
        <f>'t4'!H9</f>
        <v>FTES</v>
      </c>
      <c r="I10" s="22">
        <f>'t4'!I9</f>
        <v>107306.14437598511</v>
      </c>
      <c r="J10" s="34">
        <f>[1]t8!$B$10</f>
        <v>4069353.9726088783</v>
      </c>
      <c r="K10" s="34">
        <f>[1]t8!$C$10</f>
        <v>1018357.7761954673</v>
      </c>
      <c r="L10" s="22">
        <f t="shared" si="0"/>
        <v>1201.9777773904989</v>
      </c>
      <c r="M10" s="22">
        <f t="shared" si="1"/>
        <v>1317642.9086073646</v>
      </c>
      <c r="N10" s="22">
        <f t="shared" si="2"/>
        <v>6406556.6351891011</v>
      </c>
      <c r="O10" s="22">
        <v>45.98</v>
      </c>
      <c r="P10" s="23" t="s">
        <v>44</v>
      </c>
      <c r="Q10" s="22">
        <f t="shared" si="3"/>
        <v>139333.55013460421</v>
      </c>
      <c r="R10" s="34">
        <f t="shared" si="4"/>
        <v>-14.008448438535268</v>
      </c>
      <c r="S10" s="34">
        <f t="shared" si="5"/>
        <v>11.657242279251864</v>
      </c>
      <c r="T10" s="34">
        <f t="shared" si="6"/>
        <v>-22.986140615579515</v>
      </c>
    </row>
    <row r="11" spans="1:20" s="73" customFormat="1" ht="18.75" x14ac:dyDescent="0.3">
      <c r="A11" s="61" t="str">
        <f>'t4'!A10</f>
        <v>2.การจัดการเรียนการระดับปริญญาโท</v>
      </c>
      <c r="B11" s="62"/>
      <c r="C11" s="62"/>
      <c r="D11" s="62"/>
      <c r="E11" s="62"/>
      <c r="F11" s="62"/>
      <c r="G11" s="62"/>
      <c r="H11" s="156"/>
      <c r="I11" s="62"/>
      <c r="J11" s="69"/>
      <c r="K11" s="69"/>
      <c r="L11" s="62"/>
      <c r="M11" s="62"/>
      <c r="N11" s="62"/>
      <c r="O11" s="62"/>
      <c r="P11" s="63"/>
      <c r="Q11" s="62"/>
      <c r="R11" s="69"/>
      <c r="S11" s="69"/>
      <c r="T11" s="69"/>
    </row>
    <row r="12" spans="1:20" s="12" customFormat="1" ht="18.75" x14ac:dyDescent="0.3">
      <c r="A12" s="21" t="str">
        <f>'t4'!A11</f>
        <v xml:space="preserve">  2.1 กลุ่มสาขาวิชาครุศาสตร์/ศึกษาศาสตร์</v>
      </c>
      <c r="B12" s="22">
        <f>'t4'!B11</f>
        <v>1915357.2917164117</v>
      </c>
      <c r="C12" s="22">
        <f>'t4'!C11</f>
        <v>3911273.0011080657</v>
      </c>
      <c r="D12" s="22">
        <f>'t4'!D11</f>
        <v>28725.596597872376</v>
      </c>
      <c r="E12" s="22">
        <f>'t4'!E11</f>
        <v>336655.01515308116</v>
      </c>
      <c r="F12" s="22">
        <f>'t4'!F11</f>
        <v>6192010.9045754308</v>
      </c>
      <c r="G12" s="22">
        <f>'t4'!G11</f>
        <v>25.63</v>
      </c>
      <c r="H12" s="155" t="str">
        <f>'t4'!H11</f>
        <v>FTES</v>
      </c>
      <c r="I12" s="22">
        <f>'t4'!I11</f>
        <v>241592.30997172964</v>
      </c>
      <c r="J12" s="34">
        <f>[1]t8!$B$12</f>
        <v>7522392.2955313288</v>
      </c>
      <c r="K12" s="34">
        <f>[1]t8!$C$12</f>
        <v>1968939.6777397969</v>
      </c>
      <c r="L12" s="22">
        <f t="shared" si="0"/>
        <v>2492.3132078384119</v>
      </c>
      <c r="M12" s="22">
        <f t="shared" si="1"/>
        <v>2732146.0397265372</v>
      </c>
      <c r="N12" s="22">
        <f t="shared" si="2"/>
        <v>12225970.326205501</v>
      </c>
      <c r="O12" s="22">
        <v>95.34</v>
      </c>
      <c r="P12" s="23" t="s">
        <v>44</v>
      </c>
      <c r="Q12" s="22">
        <f t="shared" si="3"/>
        <v>128235.47646533985</v>
      </c>
      <c r="R12" s="34">
        <f t="shared" si="4"/>
        <v>-49.353623971233645</v>
      </c>
      <c r="S12" s="34">
        <f t="shared" si="5"/>
        <v>-73.117264526956163</v>
      </c>
      <c r="T12" s="34">
        <f t="shared" si="6"/>
        <v>88.397405016878054</v>
      </c>
    </row>
    <row r="13" spans="1:20" s="12" customFormat="1" ht="18.75" x14ac:dyDescent="0.3">
      <c r="A13" s="21" t="str">
        <f>'t4'!A12</f>
        <v xml:space="preserve">  2.2 กลุ่มสาขาวิชาวิทยาศาสตร์กายภาพและชีวภาพ</v>
      </c>
      <c r="B13" s="22">
        <f>'t4'!B12</f>
        <v>145497.76873649674</v>
      </c>
      <c r="C13" s="22">
        <f>'t4'!C12</f>
        <v>53964.246239097381</v>
      </c>
      <c r="D13" s="22">
        <f>'t4'!D12</f>
        <v>1120.7802028042283</v>
      </c>
      <c r="E13" s="22">
        <f>'t4'!E12</f>
        <v>13135.193724271601</v>
      </c>
      <c r="F13" s="22">
        <f>'t4'!F12</f>
        <v>213717.98890266995</v>
      </c>
      <c r="G13" s="22">
        <f>'t4'!G12</f>
        <v>1</v>
      </c>
      <c r="H13" s="155" t="str">
        <f>'t4'!H12</f>
        <v>FTES</v>
      </c>
      <c r="I13" s="22">
        <f>'t4'!I12</f>
        <v>213717.98890266995</v>
      </c>
      <c r="J13" s="34">
        <f>[1]t8!$B$13</f>
        <v>132662.40330824596</v>
      </c>
      <c r="K13" s="34">
        <f>[1]t8!$C$13</f>
        <v>20167.453462230776</v>
      </c>
      <c r="L13" s="22">
        <f t="shared" si="0"/>
        <v>15.161964134112425</v>
      </c>
      <c r="M13" s="22">
        <f t="shared" si="1"/>
        <v>16620.984928061582</v>
      </c>
      <c r="N13" s="22">
        <f t="shared" si="2"/>
        <v>169466.00366267242</v>
      </c>
      <c r="O13" s="22">
        <v>0.57999999999999996</v>
      </c>
      <c r="P13" s="23" t="s">
        <v>44</v>
      </c>
      <c r="Q13" s="22">
        <f t="shared" si="3"/>
        <v>292182.76493564213</v>
      </c>
      <c r="R13" s="34">
        <f t="shared" si="4"/>
        <v>26.112603285366042</v>
      </c>
      <c r="S13" s="34">
        <f t="shared" si="5"/>
        <v>72.413793103448285</v>
      </c>
      <c r="T13" s="34">
        <f t="shared" si="6"/>
        <v>-26.854690094487704</v>
      </c>
    </row>
    <row r="14" spans="1:20" s="12" customFormat="1" ht="18.75" x14ac:dyDescent="0.3">
      <c r="A14" s="21" t="str">
        <f>'t4'!A13</f>
        <v xml:space="preserve">  2.3 กลุ่มสาขาวิชามนุษศาสตร์และสังคมศาสตร์</v>
      </c>
      <c r="B14" s="22">
        <f>'t4'!B13</f>
        <v>196542.71077698644</v>
      </c>
      <c r="C14" s="22">
        <f>'t4'!C13</f>
        <v>85988.127608826107</v>
      </c>
      <c r="D14" s="22">
        <f>'t4'!D13</f>
        <v>2947.6519333751207</v>
      </c>
      <c r="E14" s="22">
        <f>'t4'!E13</f>
        <v>34545.559494834313</v>
      </c>
      <c r="F14" s="22">
        <f>'t4'!F13</f>
        <v>320024.04981402197</v>
      </c>
      <c r="G14" s="22">
        <f>'t4'!G13</f>
        <v>2.63</v>
      </c>
      <c r="H14" s="155" t="str">
        <f>'t4'!H13</f>
        <v>FTES</v>
      </c>
      <c r="I14" s="22">
        <f>'t4'!I13</f>
        <v>121682.1482182593</v>
      </c>
      <c r="J14" s="34">
        <f>[1]t8!$B$14</f>
        <v>145351.04303856718</v>
      </c>
      <c r="K14" s="34">
        <f>[1]t8!$C$14</f>
        <v>803208.93136783817</v>
      </c>
      <c r="L14" s="22">
        <f t="shared" si="0"/>
        <v>39.211976208911452</v>
      </c>
      <c r="M14" s="22">
        <f t="shared" si="1"/>
        <v>42985.305848435128</v>
      </c>
      <c r="N14" s="22">
        <f t="shared" si="2"/>
        <v>991584.49223104946</v>
      </c>
      <c r="O14" s="22">
        <v>1.5</v>
      </c>
      <c r="P14" s="23" t="s">
        <v>44</v>
      </c>
      <c r="Q14" s="22">
        <f t="shared" si="3"/>
        <v>661056.32815403293</v>
      </c>
      <c r="R14" s="34">
        <f t="shared" si="4"/>
        <v>-67.72599286078254</v>
      </c>
      <c r="S14" s="34">
        <f t="shared" si="5"/>
        <v>75.333333333333329</v>
      </c>
      <c r="T14" s="34">
        <f t="shared" si="6"/>
        <v>-81.592771593602208</v>
      </c>
    </row>
    <row r="15" spans="1:20" s="12" customFormat="1" ht="18.75" x14ac:dyDescent="0.3">
      <c r="A15" s="21" t="str">
        <f>'t4'!A14</f>
        <v xml:space="preserve">  2.4 กลุ่มสาขาวิชาบริหาร</v>
      </c>
      <c r="B15" s="22">
        <f>'t4'!B14</f>
        <v>1429605.3449291829</v>
      </c>
      <c r="C15" s="22">
        <f>'t4'!C14</f>
        <v>1209807.1905539329</v>
      </c>
      <c r="D15" s="22">
        <f>'t4'!D14</f>
        <v>21440.525279644888</v>
      </c>
      <c r="E15" s="22">
        <f>'t4'!E14</f>
        <v>251276.25594531573</v>
      </c>
      <c r="F15" s="22">
        <f>'t4'!F14</f>
        <v>2912129.3167080763</v>
      </c>
      <c r="G15" s="22">
        <f>'t4'!G14</f>
        <v>19.13</v>
      </c>
      <c r="H15" s="155" t="str">
        <f>'t4'!H14</f>
        <v>FTES</v>
      </c>
      <c r="I15" s="22">
        <f>'t4'!I14</f>
        <v>152228.40129158788</v>
      </c>
      <c r="J15" s="34">
        <f>[1]t8!$B$15</f>
        <v>444210.91487142199</v>
      </c>
      <c r="K15" s="34">
        <f>[1]t8!$C$15</f>
        <v>1002687.5224006195</v>
      </c>
      <c r="L15" s="22">
        <f t="shared" si="0"/>
        <v>147.17561737078097</v>
      </c>
      <c r="M15" s="22">
        <f t="shared" si="1"/>
        <v>161338.18128445983</v>
      </c>
      <c r="N15" s="22">
        <f t="shared" si="2"/>
        <v>1608383.7941738721</v>
      </c>
      <c r="O15" s="71">
        <v>5.63</v>
      </c>
      <c r="P15" s="23" t="s">
        <v>44</v>
      </c>
      <c r="Q15" s="22">
        <f t="shared" si="3"/>
        <v>285680.95811258833</v>
      </c>
      <c r="R15" s="34">
        <f t="shared" si="4"/>
        <v>81.059354568034436</v>
      </c>
      <c r="S15" s="34">
        <f t="shared" si="5"/>
        <v>239.78685612788632</v>
      </c>
      <c r="T15" s="34">
        <f t="shared" si="6"/>
        <v>-46.713843898691387</v>
      </c>
    </row>
    <row r="16" spans="1:20" s="73" customFormat="1" ht="18.75" x14ac:dyDescent="0.3">
      <c r="A16" s="61" t="str">
        <f>'t4'!A15</f>
        <v>3.การจัดการเรียนการสอนระดับปริญญาเอก</v>
      </c>
      <c r="B16" s="62"/>
      <c r="C16" s="62"/>
      <c r="D16" s="62"/>
      <c r="E16" s="62"/>
      <c r="F16" s="62"/>
      <c r="G16" s="62"/>
      <c r="H16" s="156"/>
      <c r="I16" s="62"/>
      <c r="J16" s="69"/>
      <c r="K16" s="69"/>
      <c r="L16" s="62"/>
      <c r="M16" s="62"/>
      <c r="N16" s="62"/>
      <c r="O16" s="62"/>
      <c r="P16" s="63"/>
      <c r="Q16" s="62"/>
      <c r="R16" s="69"/>
      <c r="S16" s="69"/>
      <c r="T16" s="69"/>
    </row>
    <row r="17" spans="1:20" s="12" customFormat="1" ht="18.75" x14ac:dyDescent="0.3">
      <c r="A17" s="21" t="str">
        <f>'t4'!A16</f>
        <v xml:space="preserve">  3.1 กลุ่มสาขาวิชามนุษศาสตร์และสังคมศาสตร์</v>
      </c>
      <c r="B17" s="22">
        <f>'t4'!B16</f>
        <v>364687.61543410411</v>
      </c>
      <c r="C17" s="22">
        <f>'t4'!C16</f>
        <v>774663.68164679524</v>
      </c>
      <c r="D17" s="22">
        <f>'t4'!D16</f>
        <v>5469.4073896846348</v>
      </c>
      <c r="E17" s="22">
        <f>'t4'!E16</f>
        <v>64099.745374445418</v>
      </c>
      <c r="F17" s="22">
        <f>'t4'!F16</f>
        <v>1208920.4498450293</v>
      </c>
      <c r="G17" s="22">
        <f>'t4'!G16</f>
        <v>4.88</v>
      </c>
      <c r="H17" s="155" t="str">
        <f>'t4'!H16</f>
        <v>FTES</v>
      </c>
      <c r="I17" s="22">
        <f>'t4'!I16</f>
        <v>247729.60037807978</v>
      </c>
      <c r="J17" s="34">
        <f>[1]t8!$B$17</f>
        <v>1716090.1240592236</v>
      </c>
      <c r="K17" s="34">
        <f>[1]t8!$C$17</f>
        <v>1212879.504833654</v>
      </c>
      <c r="L17" s="22">
        <f t="shared" si="0"/>
        <v>568.57365502921596</v>
      </c>
      <c r="M17" s="22">
        <f t="shared" si="1"/>
        <v>623286.93480230926</v>
      </c>
      <c r="N17" s="22">
        <f t="shared" si="2"/>
        <v>3552825.137350216</v>
      </c>
      <c r="O17" s="34">
        <v>21.75</v>
      </c>
      <c r="P17" s="23" t="s">
        <v>44</v>
      </c>
      <c r="Q17" s="22">
        <f t="shared" si="3"/>
        <v>163348.28217702144</v>
      </c>
      <c r="R17" s="34">
        <f t="shared" si="4"/>
        <v>-65.972981976065611</v>
      </c>
      <c r="S17" s="34">
        <f t="shared" si="5"/>
        <v>-77.563218390804593</v>
      </c>
      <c r="T17" s="34">
        <f t="shared" si="6"/>
        <v>51.6573036927403</v>
      </c>
    </row>
    <row r="18" spans="1:20" s="12" customFormat="1" ht="18.75" x14ac:dyDescent="0.3">
      <c r="A18" s="21" t="str">
        <f>'t4'!A17</f>
        <v xml:space="preserve">  3.2 กลุ่มสาขาวิชาบริหาร</v>
      </c>
      <c r="B18" s="22">
        <f>'t4'!B17</f>
        <v>289956.54669760738</v>
      </c>
      <c r="C18" s="22">
        <f>'t4'!C17</f>
        <v>1655573.795407698</v>
      </c>
      <c r="D18" s="22">
        <f>'t4'!D17</f>
        <v>4348.627186880406</v>
      </c>
      <c r="E18" s="22">
        <f>'t4'!E17</f>
        <v>50964.551650173817</v>
      </c>
      <c r="F18" s="22">
        <f>'t4'!F17</f>
        <v>2000843.5209423595</v>
      </c>
      <c r="G18" s="22">
        <f>'t4'!G17</f>
        <v>3.88</v>
      </c>
      <c r="H18" s="155" t="str">
        <f>'t4'!H17</f>
        <v>FTES</v>
      </c>
      <c r="I18" s="22">
        <f>'t4'!I17</f>
        <v>515681.319830505</v>
      </c>
      <c r="J18" s="34">
        <f>[1]t8!$B$18</f>
        <v>848971.48206332175</v>
      </c>
      <c r="K18" s="34">
        <f>[1]t8!$C$18</f>
        <v>787172.06767862616</v>
      </c>
      <c r="L18" s="22">
        <f t="shared" si="0"/>
        <v>281.28057600525813</v>
      </c>
      <c r="M18" s="22">
        <f t="shared" si="1"/>
        <v>308347.92728610802</v>
      </c>
      <c r="N18" s="22">
        <f t="shared" si="2"/>
        <v>1944772.7576040614</v>
      </c>
      <c r="O18" s="34">
        <v>10.76</v>
      </c>
      <c r="P18" s="23" t="s">
        <v>44</v>
      </c>
      <c r="Q18" s="22">
        <f t="shared" si="3"/>
        <v>180740.96260260793</v>
      </c>
      <c r="R18" s="34">
        <f t="shared" si="4"/>
        <v>2.8831524464265241</v>
      </c>
      <c r="S18" s="34">
        <f t="shared" si="5"/>
        <v>-63.940520446096649</v>
      </c>
      <c r="T18" s="34">
        <f t="shared" si="6"/>
        <v>185.31513410400754</v>
      </c>
    </row>
    <row r="19" spans="1:20" s="12" customFormat="1" ht="18.75" x14ac:dyDescent="0.3">
      <c r="A19" s="195" t="str">
        <f>'t4'!A18</f>
        <v xml:space="preserve">4.ผลงานการให้บริการด้านวิชาการ </v>
      </c>
      <c r="B19" s="196">
        <f>'t4'!B18</f>
        <v>10608141.77</v>
      </c>
      <c r="C19" s="196">
        <f>'t4'!C18</f>
        <v>1217467.96</v>
      </c>
      <c r="D19" s="196">
        <f>'t4'!D18</f>
        <v>0</v>
      </c>
      <c r="E19" s="196">
        <f>'t4'!E18</f>
        <v>0</v>
      </c>
      <c r="F19" s="196">
        <f>'t4'!F18</f>
        <v>11825609.73</v>
      </c>
      <c r="G19" s="196">
        <f>'t4'!G18</f>
        <v>196</v>
      </c>
      <c r="H19" s="197" t="str">
        <f>'t4'!H18</f>
        <v>โครงการ/กิจกรรม</v>
      </c>
      <c r="I19" s="196">
        <f>'t4'!I18</f>
        <v>60334.743520408163</v>
      </c>
      <c r="J19" s="71">
        <f>[1]t8!$B$19</f>
        <v>10122750</v>
      </c>
      <c r="K19" s="71">
        <f>[1]t8!$C$19</f>
        <v>2214160</v>
      </c>
      <c r="L19" s="198">
        <v>0</v>
      </c>
      <c r="M19" s="198">
        <v>0</v>
      </c>
      <c r="N19" s="196">
        <f>SUM(J19:M19)</f>
        <v>12336910</v>
      </c>
      <c r="O19" s="11">
        <v>114</v>
      </c>
      <c r="P19" s="199" t="s">
        <v>315</v>
      </c>
      <c r="Q19" s="196">
        <f t="shared" si="3"/>
        <v>108218.50877192983</v>
      </c>
      <c r="R19" s="71">
        <v>0</v>
      </c>
      <c r="S19" s="71">
        <f t="shared" si="5"/>
        <v>71.929824561403507</v>
      </c>
      <c r="T19" s="71">
        <f t="shared" si="6"/>
        <v>-44.247297246015975</v>
      </c>
    </row>
    <row r="20" spans="1:20" s="12" customFormat="1" ht="18.75" x14ac:dyDescent="0.3">
      <c r="A20" s="195" t="str">
        <f>'t4'!A19</f>
        <v>5.ผลงานวิจัย</v>
      </c>
      <c r="B20" s="196">
        <f>'t4'!B19</f>
        <v>12105020</v>
      </c>
      <c r="C20" s="196">
        <f>'t4'!C19</f>
        <v>2444782.23</v>
      </c>
      <c r="D20" s="196">
        <f>'t4'!D19</f>
        <v>0</v>
      </c>
      <c r="E20" s="196">
        <f>'t4'!E19</f>
        <v>0</v>
      </c>
      <c r="F20" s="196">
        <f>'t4'!F19</f>
        <v>14549802.23</v>
      </c>
      <c r="G20" s="196">
        <f>'t4'!G19</f>
        <v>89</v>
      </c>
      <c r="H20" s="197" t="str">
        <f>'t4'!H19</f>
        <v>เรื่อง</v>
      </c>
      <c r="I20" s="196">
        <f>'t4'!I19</f>
        <v>163480.92393258426</v>
      </c>
      <c r="J20" s="71">
        <f>[1]t8!$B$21</f>
        <v>9319190</v>
      </c>
      <c r="K20" s="71">
        <f>[1]t8!$C$21</f>
        <v>3300000</v>
      </c>
      <c r="L20" s="198">
        <v>0</v>
      </c>
      <c r="M20" s="198">
        <v>0</v>
      </c>
      <c r="N20" s="196">
        <f t="shared" si="2"/>
        <v>12619190</v>
      </c>
      <c r="O20" s="11">
        <v>268</v>
      </c>
      <c r="P20" s="199" t="s">
        <v>45</v>
      </c>
      <c r="Q20" s="196">
        <f t="shared" si="3"/>
        <v>47086.529850746272</v>
      </c>
      <c r="R20" s="71">
        <v>0</v>
      </c>
      <c r="S20" s="71">
        <f t="shared" si="5"/>
        <v>-66.791044776119406</v>
      </c>
      <c r="T20" s="71">
        <f t="shared" si="6"/>
        <v>247.19255050389589</v>
      </c>
    </row>
    <row r="21" spans="1:20" s="12" customFormat="1" ht="18.75" x14ac:dyDescent="0.3">
      <c r="A21" s="195" t="str">
        <f>'t4'!A20</f>
        <v>6.ผลงานทำนุบำรุงศิลปวัฒนธรรม</v>
      </c>
      <c r="B21" s="196">
        <f>'t4'!B20</f>
        <v>1921389</v>
      </c>
      <c r="C21" s="196">
        <f>'t4'!C20</f>
        <v>509294</v>
      </c>
      <c r="D21" s="196">
        <f>'t4'!D20</f>
        <v>0</v>
      </c>
      <c r="E21" s="196">
        <f>'t4'!E20</f>
        <v>0</v>
      </c>
      <c r="F21" s="196">
        <f>'t4'!F20</f>
        <v>2430683</v>
      </c>
      <c r="G21" s="196">
        <f>'t4'!G20</f>
        <v>61</v>
      </c>
      <c r="H21" s="197" t="str">
        <f>'t4'!H20</f>
        <v>โครงการ/กิจกรรม</v>
      </c>
      <c r="I21" s="196">
        <f>'t4'!I20</f>
        <v>39847.262295081964</v>
      </c>
      <c r="J21" s="71">
        <f>[1]t8!$B$20</f>
        <v>2294100</v>
      </c>
      <c r="K21" s="71">
        <f>[1]t8!$C$20</f>
        <v>703000</v>
      </c>
      <c r="L21" s="78">
        <v>0</v>
      </c>
      <c r="M21" s="198">
        <v>0</v>
      </c>
      <c r="N21" s="196">
        <f t="shared" si="2"/>
        <v>2997100</v>
      </c>
      <c r="O21" s="11">
        <v>57</v>
      </c>
      <c r="P21" s="199" t="s">
        <v>315</v>
      </c>
      <c r="Q21" s="196">
        <f t="shared" si="3"/>
        <v>52580.701754385962</v>
      </c>
      <c r="R21" s="71">
        <v>0</v>
      </c>
      <c r="S21" s="71">
        <f t="shared" si="5"/>
        <v>7.0175438596491224</v>
      </c>
      <c r="T21" s="71">
        <f t="shared" si="6"/>
        <v>-24.216944685873941</v>
      </c>
    </row>
    <row r="22" spans="1:20" s="12" customFormat="1" ht="18.75" x14ac:dyDescent="0.25">
      <c r="A22" s="80" t="str">
        <f>'t4'!A21</f>
        <v>รวม</v>
      </c>
      <c r="B22" s="81">
        <f>SUM(B4:B21)</f>
        <v>369216575.05999994</v>
      </c>
      <c r="C22" s="81">
        <f>SUM(C4:C21)</f>
        <v>88771906.329999983</v>
      </c>
      <c r="D22" s="81">
        <f>SUM(D4:D21)</f>
        <v>5042300.47</v>
      </c>
      <c r="E22" s="81">
        <f>SUM(E4:E21)</f>
        <v>59094185.750000007</v>
      </c>
      <c r="F22" s="81">
        <f>SUM(F4:F21)</f>
        <v>522124967.60999995</v>
      </c>
      <c r="G22" s="81"/>
      <c r="H22" s="81"/>
      <c r="I22" s="81"/>
      <c r="J22" s="81">
        <f>SUM(J4:J21)</f>
        <v>358639399.99999994</v>
      </c>
      <c r="K22" s="81">
        <f t="shared" ref="K22" si="7">SUM(K4:K21)</f>
        <v>82852980.000000015</v>
      </c>
      <c r="L22" s="81">
        <f t="shared" ref="L22" si="8">SUM(L4:L21)</f>
        <v>105000</v>
      </c>
      <c r="M22" s="81">
        <f t="shared" ref="M22" si="9">SUM(M4:M21)</f>
        <v>115104046.01999998</v>
      </c>
      <c r="N22" s="81">
        <f>SUM(N5:N21)</f>
        <v>556701426.01999998</v>
      </c>
      <c r="O22" s="81"/>
      <c r="P22" s="81"/>
      <c r="Q22" s="81"/>
      <c r="R22" s="132"/>
      <c r="S22" s="132"/>
      <c r="T22" s="132"/>
    </row>
    <row r="24" spans="1:20" ht="18.75" x14ac:dyDescent="0.3">
      <c r="A24" s="26" t="s">
        <v>319</v>
      </c>
    </row>
    <row r="25" spans="1:20" ht="18.75" x14ac:dyDescent="0.3">
      <c r="A25" s="13" t="s">
        <v>320</v>
      </c>
      <c r="J25" s="14"/>
      <c r="K25" s="14"/>
      <c r="L25" s="14"/>
      <c r="M25" s="14"/>
      <c r="N25" s="14"/>
    </row>
    <row r="26" spans="1:20" ht="18.75" x14ac:dyDescent="0.3">
      <c r="A26" s="13"/>
    </row>
    <row r="63" spans="1:9" ht="18.75" x14ac:dyDescent="0.25">
      <c r="A63" s="24" t="s">
        <v>41</v>
      </c>
      <c r="B63" s="11">
        <v>293397448.79000002</v>
      </c>
      <c r="C63" s="11">
        <v>40100672.939999998</v>
      </c>
      <c r="D63" s="10">
        <v>1579536.25</v>
      </c>
      <c r="E63" s="10">
        <v>38242255.090000004</v>
      </c>
      <c r="F63" s="9">
        <f>SUM(B63:E63)</f>
        <v>373319913.07000005</v>
      </c>
      <c r="G63" s="9" t="e">
        <f>SUM(#REF!)</f>
        <v>#REF!</v>
      </c>
      <c r="H63" s="35" t="s">
        <v>52</v>
      </c>
      <c r="I63" s="9" t="e">
        <f>SUM(F63/G63)</f>
        <v>#REF!</v>
      </c>
    </row>
    <row r="65" spans="1:10" x14ac:dyDescent="0.25">
      <c r="D65" s="3">
        <f>SUM(D63/9)</f>
        <v>175504.02777777778</v>
      </c>
      <c r="E65" s="3">
        <f>SUM(E63/9)</f>
        <v>4249139.4544444447</v>
      </c>
      <c r="F65" s="3">
        <f>SUM(F63/9)</f>
        <v>41479990.341111116</v>
      </c>
    </row>
    <row r="68" spans="1:10" ht="18.75" x14ac:dyDescent="0.25">
      <c r="A68" s="21" t="s">
        <v>325</v>
      </c>
      <c r="B68" s="3" t="e">
        <f>SUM((#REF!/G63)*B63)</f>
        <v>#REF!</v>
      </c>
      <c r="C68" s="3" t="e">
        <f>SUM((#REF!/G63)*C63)</f>
        <v>#REF!</v>
      </c>
      <c r="D68" s="3" t="e">
        <f>SUM((#REF!/G63)*D63)</f>
        <v>#REF!</v>
      </c>
      <c r="E68" s="3" t="e">
        <f>SUM((#REF!/G63)*E63)</f>
        <v>#REF!</v>
      </c>
    </row>
    <row r="69" spans="1:10" ht="18.75" x14ac:dyDescent="0.25">
      <c r="A69" s="21" t="s">
        <v>333</v>
      </c>
      <c r="B69" s="3" t="e">
        <f>SUM((#REF!/G63)*B63)</f>
        <v>#REF!</v>
      </c>
      <c r="C69" s="3" t="e">
        <f>SUM((#REF!/G63)*C63)</f>
        <v>#REF!</v>
      </c>
      <c r="D69" s="3" t="e">
        <f>SUM((#REF!/G63)*D63)</f>
        <v>#REF!</v>
      </c>
      <c r="E69" s="3" t="e">
        <f>SUM((#REF!/G63)*E63)</f>
        <v>#REF!</v>
      </c>
      <c r="J69" s="3" t="s">
        <v>70</v>
      </c>
    </row>
    <row r="70" spans="1:10" ht="18.75" x14ac:dyDescent="0.25">
      <c r="A70" s="21" t="s">
        <v>32</v>
      </c>
      <c r="B70" s="3" t="e">
        <f>SUM((#REF!/G63)*B63)</f>
        <v>#REF!</v>
      </c>
      <c r="C70" s="3" t="e">
        <f>SUM((#REF!/G63)*C63)</f>
        <v>#REF!</v>
      </c>
      <c r="D70" s="3" t="e">
        <f>SUM((#REF!/G63)*D63)</f>
        <v>#REF!</v>
      </c>
      <c r="E70" s="3" t="e">
        <f>SUM((#REF!/G63)*E63)</f>
        <v>#REF!</v>
      </c>
      <c r="J70" s="3" t="s">
        <v>71</v>
      </c>
    </row>
    <row r="71" spans="1:10" ht="18.75" x14ac:dyDescent="0.25">
      <c r="A71" s="21" t="s">
        <v>342</v>
      </c>
      <c r="B71" s="3" t="e">
        <f>SUM((#REF!/G63)*B63)</f>
        <v>#REF!</v>
      </c>
      <c r="C71" s="3" t="e">
        <f>SUM((#REF!/G63)*C63)</f>
        <v>#REF!</v>
      </c>
      <c r="D71" s="3" t="e">
        <f>SUM((#REF!/G63)*D63)</f>
        <v>#REF!</v>
      </c>
      <c r="E71" s="3" t="e">
        <f>SUM((#REF!/G63)*E63)</f>
        <v>#REF!</v>
      </c>
      <c r="J71" s="3" t="s">
        <v>72</v>
      </c>
    </row>
    <row r="72" spans="1:10" ht="18.75" x14ac:dyDescent="0.25">
      <c r="A72" s="21" t="s">
        <v>347</v>
      </c>
      <c r="B72" s="3" t="e">
        <f>SUM((#REF!/G63)*B63)</f>
        <v>#REF!</v>
      </c>
      <c r="C72" s="3" t="e">
        <f>SUM((#REF!/G63)*C63)</f>
        <v>#REF!</v>
      </c>
      <c r="D72" s="3" t="e">
        <f>SUM((#REF!/G63)*D63)</f>
        <v>#REF!</v>
      </c>
      <c r="E72" s="3" t="e">
        <f>SUM((#REF!/G63)*E63)</f>
        <v>#REF!</v>
      </c>
    </row>
    <row r="73" spans="1:10" ht="18.75" x14ac:dyDescent="0.25">
      <c r="A73" s="21" t="s">
        <v>337</v>
      </c>
      <c r="B73" s="3" t="e">
        <f>SUM((#REF!/G63)*B63)</f>
        <v>#REF!</v>
      </c>
      <c r="C73" s="3" t="e">
        <f>SUM((#REF!/G63)*C63)</f>
        <v>#REF!</v>
      </c>
      <c r="D73" s="3" t="e">
        <f>SUM((#REF!/G63)*D63)</f>
        <v>#REF!</v>
      </c>
      <c r="E73" s="3" t="e">
        <f>SUM((#REF!/G63)*E63)</f>
        <v>#REF!</v>
      </c>
    </row>
  </sheetData>
  <mergeCells count="6">
    <mergeCell ref="J2:Q2"/>
    <mergeCell ref="R2:R3"/>
    <mergeCell ref="S2:S3"/>
    <mergeCell ref="T2:T3"/>
    <mergeCell ref="A2:A3"/>
    <mergeCell ref="B2:I2"/>
  </mergeCells>
  <pageMargins left="0.70866141732283472" right="0.39370078740157483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"/>
  <sheetViews>
    <sheetView workbookViewId="0">
      <selection activeCell="A16" sqref="A16"/>
    </sheetView>
  </sheetViews>
  <sheetFormatPr defaultRowHeight="14.25" x14ac:dyDescent="0.2"/>
  <cols>
    <col min="1" max="1" width="18.625" bestFit="1" customWidth="1"/>
    <col min="2" max="2" width="10.625" customWidth="1"/>
    <col min="3" max="10" width="8.5" customWidth="1"/>
    <col min="11" max="11" width="10.875" customWidth="1"/>
    <col min="12" max="12" width="8.5" customWidth="1"/>
    <col min="13" max="13" width="12.5" bestFit="1" customWidth="1"/>
    <col min="14" max="14" width="19.375" bestFit="1" customWidth="1"/>
  </cols>
  <sheetData>
    <row r="1" spans="1:14" x14ac:dyDescent="0.2">
      <c r="D1" t="s">
        <v>294</v>
      </c>
      <c r="I1" t="s">
        <v>295</v>
      </c>
    </row>
    <row r="2" spans="1:14" x14ac:dyDescent="0.2">
      <c r="A2" s="214"/>
      <c r="B2" s="215" t="s">
        <v>86</v>
      </c>
      <c r="C2" s="215"/>
      <c r="D2" s="215"/>
      <c r="E2" s="214" t="s">
        <v>87</v>
      </c>
      <c r="F2" s="214"/>
      <c r="G2" s="214"/>
      <c r="H2" s="214" t="s">
        <v>86</v>
      </c>
      <c r="I2" s="214"/>
      <c r="J2" s="214"/>
      <c r="K2" s="214" t="s">
        <v>3</v>
      </c>
      <c r="L2" s="214"/>
      <c r="M2" s="214"/>
    </row>
    <row r="3" spans="1:14" x14ac:dyDescent="0.2">
      <c r="A3" s="214"/>
      <c r="B3" s="162" t="s">
        <v>88</v>
      </c>
      <c r="C3" s="162" t="s">
        <v>89</v>
      </c>
      <c r="D3" s="162" t="s">
        <v>90</v>
      </c>
      <c r="E3" s="68" t="s">
        <v>88</v>
      </c>
      <c r="F3" s="68" t="s">
        <v>89</v>
      </c>
      <c r="G3" s="68" t="s">
        <v>90</v>
      </c>
      <c r="H3" s="123" t="s">
        <v>88</v>
      </c>
      <c r="I3" s="123" t="s">
        <v>89</v>
      </c>
      <c r="J3" s="123" t="s">
        <v>90</v>
      </c>
      <c r="K3" s="68" t="s">
        <v>88</v>
      </c>
      <c r="L3" s="68" t="s">
        <v>89</v>
      </c>
      <c r="M3" s="68" t="s">
        <v>90</v>
      </c>
    </row>
    <row r="4" spans="1:14" x14ac:dyDescent="0.2">
      <c r="A4" s="56" t="s">
        <v>91</v>
      </c>
      <c r="B4" s="163">
        <f>'[2]2.1ครุ(ป.ตรี)'!P414</f>
        <v>609.19444444444366</v>
      </c>
      <c r="C4" s="163">
        <f>'[2]2.2ครุ (บศ)'!P27</f>
        <v>80.208333333333343</v>
      </c>
      <c r="D4" s="163"/>
      <c r="E4" s="57">
        <v>370.78</v>
      </c>
      <c r="F4" s="57">
        <v>15.13</v>
      </c>
      <c r="G4" s="57"/>
      <c r="H4" s="57">
        <v>862.31</v>
      </c>
      <c r="I4" s="57">
        <v>10.5</v>
      </c>
      <c r="J4" s="57">
        <v>0</v>
      </c>
      <c r="K4" s="57">
        <v>1233.0899999999999</v>
      </c>
      <c r="L4" s="57">
        <v>25.63</v>
      </c>
      <c r="M4" s="57">
        <v>0</v>
      </c>
    </row>
    <row r="5" spans="1:14" x14ac:dyDescent="0.2">
      <c r="A5" s="58" t="s">
        <v>92</v>
      </c>
      <c r="B5" s="163">
        <f>'[2]5.1วิทย์(ป.ตรี)'!P282</f>
        <v>352.36111111111126</v>
      </c>
      <c r="C5" s="163">
        <f>'[2]5.2วิทย์ (บศ.)'!P8</f>
        <v>0.58333333333333337</v>
      </c>
      <c r="D5" s="163"/>
      <c r="E5" s="59">
        <v>149.0277778</v>
      </c>
      <c r="F5" s="59">
        <v>1</v>
      </c>
      <c r="G5" s="59"/>
      <c r="H5" s="59">
        <v>442.67</v>
      </c>
      <c r="I5" s="59"/>
      <c r="J5" s="59"/>
      <c r="K5" s="59">
        <v>591.70000000000005</v>
      </c>
      <c r="L5" s="57">
        <v>1</v>
      </c>
      <c r="M5" s="57">
        <v>0</v>
      </c>
    </row>
    <row r="6" spans="1:14" x14ac:dyDescent="0.2">
      <c r="A6" s="56" t="s">
        <v>93</v>
      </c>
      <c r="B6" s="163">
        <f>'[2]3.มนุษย์(ป.ตรี)'!P655</f>
        <v>876.33333333333474</v>
      </c>
      <c r="C6" s="163"/>
      <c r="D6" s="169">
        <v>20.25</v>
      </c>
      <c r="E6" s="57">
        <v>542.94444439999995</v>
      </c>
      <c r="F6" s="57">
        <v>1.5</v>
      </c>
      <c r="G6" s="170">
        <v>1.5</v>
      </c>
      <c r="H6" s="170">
        <v>994.11</v>
      </c>
      <c r="I6" s="170">
        <v>1.1299999999999999</v>
      </c>
      <c r="J6" s="170">
        <v>3.38</v>
      </c>
      <c r="K6" s="57">
        <v>1537.05</v>
      </c>
      <c r="L6" s="57">
        <v>2.63</v>
      </c>
      <c r="M6" s="57">
        <v>4.88</v>
      </c>
    </row>
    <row r="7" spans="1:14" x14ac:dyDescent="0.2">
      <c r="A7" s="58" t="s">
        <v>94</v>
      </c>
      <c r="B7" s="163">
        <f>'[2]6.1วจ. (ป.ตรี)'!P318</f>
        <v>374.36111111111131</v>
      </c>
      <c r="C7" s="163">
        <f>'[2]6.2วจ. (บศ)'!P6</f>
        <v>5.625</v>
      </c>
      <c r="D7" s="169">
        <v>7.63</v>
      </c>
      <c r="E7" s="59">
        <v>266.5</v>
      </c>
      <c r="F7" s="59">
        <v>8.3800000000000008</v>
      </c>
      <c r="G7" s="170">
        <v>3.13</v>
      </c>
      <c r="H7" s="170">
        <v>439.33</v>
      </c>
      <c r="I7" s="170">
        <f>8.25+2.5</f>
        <v>10.75</v>
      </c>
      <c r="J7" s="170">
        <v>0.75</v>
      </c>
      <c r="K7" s="59">
        <v>705.83</v>
      </c>
      <c r="L7" s="57">
        <v>19.13</v>
      </c>
      <c r="M7" s="57">
        <v>3.88</v>
      </c>
    </row>
    <row r="8" spans="1:14" x14ac:dyDescent="0.2">
      <c r="A8" s="56" t="s">
        <v>95</v>
      </c>
      <c r="B8" s="163">
        <f>'[2]4.เทคโน(ป.ตรี)'!P222</f>
        <v>179.69444444444431</v>
      </c>
      <c r="C8" s="163"/>
      <c r="D8" s="163"/>
      <c r="E8" s="57">
        <v>113.9</v>
      </c>
      <c r="F8" s="57"/>
      <c r="G8" s="57"/>
      <c r="H8" s="57">
        <v>208.86</v>
      </c>
      <c r="I8" s="57"/>
      <c r="J8" s="57"/>
      <c r="K8" s="57">
        <v>322.76</v>
      </c>
      <c r="L8" s="57">
        <v>0</v>
      </c>
      <c r="M8" s="57">
        <v>0</v>
      </c>
    </row>
    <row r="9" spans="1:14" x14ac:dyDescent="0.2">
      <c r="A9" s="58" t="s">
        <v>96</v>
      </c>
      <c r="B9" s="163">
        <f>'[2]7.เกษตร(ป.ตรี)'!P36</f>
        <v>32.916666666666664</v>
      </c>
      <c r="C9" s="163"/>
      <c r="D9" s="163"/>
      <c r="E9" s="59">
        <v>13.06</v>
      </c>
      <c r="F9" s="59"/>
      <c r="G9" s="59"/>
      <c r="H9" s="59">
        <v>38.28</v>
      </c>
      <c r="I9" s="59"/>
      <c r="J9" s="59"/>
      <c r="K9" s="59">
        <v>51.34</v>
      </c>
      <c r="L9" s="57">
        <v>0</v>
      </c>
      <c r="M9" s="57">
        <v>0</v>
      </c>
    </row>
    <row r="11" spans="1:14" x14ac:dyDescent="0.2">
      <c r="A11" s="60" t="s">
        <v>3</v>
      </c>
      <c r="H11" s="15"/>
      <c r="I11" s="15"/>
      <c r="J11" s="15"/>
      <c r="K11" s="15">
        <v>4441.7700000000004</v>
      </c>
      <c r="L11" s="15">
        <f t="shared" ref="L11:M11" si="0">SUM(L4:L10)</f>
        <v>48.39</v>
      </c>
      <c r="M11" s="15">
        <f t="shared" si="0"/>
        <v>8.76</v>
      </c>
      <c r="N11" s="15">
        <v>4498.92</v>
      </c>
    </row>
  </sheetData>
  <mergeCells count="5">
    <mergeCell ref="A2:A3"/>
    <mergeCell ref="B2:D2"/>
    <mergeCell ref="E2:G2"/>
    <mergeCell ref="K2:M2"/>
    <mergeCell ref="H2:J2"/>
  </mergeCells>
  <pageMargins left="0.18" right="0.1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7</vt:i4>
      </vt:variant>
    </vt:vector>
  </HeadingPairs>
  <TitlesOfParts>
    <vt:vector size="21" baseType="lpstr">
      <vt:lpstr>t1</vt:lpstr>
      <vt:lpstr>t2</vt:lpstr>
      <vt:lpstr>t3</vt:lpstr>
      <vt:lpstr>t4</vt:lpstr>
      <vt:lpstr>t5</vt:lpstr>
      <vt:lpstr>t6</vt:lpstr>
      <vt:lpstr>t7</vt:lpstr>
      <vt:lpstr>t8</vt:lpstr>
      <vt:lpstr>ftes</vt:lpstr>
      <vt:lpstr>Sheet3</vt:lpstr>
      <vt:lpstr>Sheet1</vt:lpstr>
      <vt:lpstr>t5_1</vt:lpstr>
      <vt:lpstr>Sheet2</vt:lpstr>
      <vt:lpstr>Sheet4</vt:lpstr>
      <vt:lpstr>'t2'!Print_Area</vt:lpstr>
      <vt:lpstr>'t3'!Print_Area</vt:lpstr>
      <vt:lpstr>'t4'!Print_Area</vt:lpstr>
      <vt:lpstr>'t5'!Print_Area</vt:lpstr>
      <vt:lpstr>'t6'!Print_Area</vt:lpstr>
      <vt:lpstr>'t7'!Print_Area</vt:lpstr>
      <vt:lpstr>'t8'!Print_Area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plan01</cp:lastModifiedBy>
  <cp:lastPrinted>2019-09-10T06:58:23Z</cp:lastPrinted>
  <dcterms:created xsi:type="dcterms:W3CDTF">2017-02-24T07:24:18Z</dcterms:created>
  <dcterms:modified xsi:type="dcterms:W3CDTF">2019-09-11T07:04:39Z</dcterms:modified>
</cp:coreProperties>
</file>