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D:\รวมเอกสารเข้าสภามหาวิทยาลัย ปี 62\รายงานไตรมาส 4 62\"/>
    </mc:Choice>
  </mc:AlternateContent>
  <xr:revisionPtr revIDLastSave="0" documentId="13_ncr:1_{A75FE0D7-761F-4441-B3DF-1E5EF8459E7F}" xr6:coauthVersionLast="45" xr6:coauthVersionMax="45" xr10:uidLastSave="{00000000-0000-0000-0000-000000000000}"/>
  <bookViews>
    <workbookView xWindow="-120" yWindow="-120" windowWidth="20730" windowHeight="11160" tabRatio="886" firstSheet="2" activeTab="2" xr2:uid="{00000000-000D-0000-FFFF-FFFF00000000}"/>
  </bookViews>
  <sheets>
    <sheet name="ปก" sheetId="7" r:id="rId1"/>
    <sheet name="สารบัญ" sheetId="6" r:id="rId2"/>
    <sheet name="S1" sheetId="12" r:id="rId3"/>
    <sheet name="Sheet3" sheetId="30" r:id="rId4"/>
    <sheet name="S2" sheetId="10" r:id="rId5"/>
    <sheet name="S3" sheetId="13" r:id="rId6"/>
    <sheet name="S3.1" sheetId="23" r:id="rId7"/>
    <sheet name="S4" sheetId="1" r:id="rId8"/>
    <sheet name="S5" sheetId="2" r:id="rId9"/>
    <sheet name="S6" sheetId="3" r:id="rId10"/>
    <sheet name="S7" sheetId="4" r:id="rId11"/>
    <sheet name="S8" sheetId="5" r:id="rId12"/>
    <sheet name="S9" sheetId="9" r:id="rId13"/>
    <sheet name="S10" sheetId="8" r:id="rId14"/>
    <sheet name="S11" sheetId="27" r:id="rId15"/>
    <sheet name="S11 (2)" sheetId="31" r:id="rId16"/>
    <sheet name="Sheet2" sheetId="11" r:id="rId17"/>
    <sheet name="Sheet7" sheetId="28" r:id="rId18"/>
    <sheet name="แผ่นดิน" sheetId="18" r:id="rId19"/>
    <sheet name="รายได้" sheetId="19" r:id="rId20"/>
    <sheet name="ประเด็นแผ่นดิน" sheetId="20" r:id="rId21"/>
    <sheet name="ประเด็นรายได้" sheetId="21" r:id="rId22"/>
    <sheet name="แผ่นดิน_สำรอง" sheetId="29" r:id="rId23"/>
    <sheet name="Sheet1" sheetId="14" r:id="rId24"/>
  </sheets>
  <externalReferences>
    <externalReference r:id="rId25"/>
  </externalReferences>
  <definedNames>
    <definedName name="_xlnm.Print_Area" localSheetId="2">'S1'!$A$1:$I$11</definedName>
    <definedName name="_xlnm.Print_Area" localSheetId="13">'S10'!$A$1:$F$18</definedName>
    <definedName name="_xlnm.Print_Area" localSheetId="14">'S11'!$A$1:$F$65</definedName>
    <definedName name="_xlnm.Print_Area" localSheetId="15">'S11 (2)'!$A$1:$F$39</definedName>
    <definedName name="_xlnm.Print_Area" localSheetId="4">'S2'!$A$1:$L$54</definedName>
    <definedName name="_xlnm.Print_Area" localSheetId="5">'S3'!$A$1:$I$85</definedName>
    <definedName name="_xlnm.Print_Area" localSheetId="6">'S3.1'!$A$1:$J$65</definedName>
    <definedName name="_xlnm.Print_Area" localSheetId="7">'S4'!$A$1:$J$41</definedName>
    <definedName name="_xlnm.Print_Area" localSheetId="9">'S6'!$A$1:$G$128</definedName>
    <definedName name="_xlnm.Print_Area" localSheetId="10">'S7'!$A$1:$G$128</definedName>
    <definedName name="_xlnm.Print_Titles" localSheetId="13">'S10'!$3:$3</definedName>
    <definedName name="_xlnm.Print_Titles" localSheetId="14">'S11'!$1:$1</definedName>
    <definedName name="_xlnm.Print_Titles" localSheetId="5">'S3'!$62:$62</definedName>
    <definedName name="_xlnm.Print_Titles" localSheetId="9">'S6'!$1:$3</definedName>
    <definedName name="_xlnm.Print_Titles" localSheetId="10">'S7'!$1:$3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9" i="13" l="1"/>
  <c r="E70" i="13"/>
  <c r="E71" i="13"/>
  <c r="E72" i="13"/>
  <c r="E73" i="13"/>
  <c r="H41" i="13"/>
  <c r="H42" i="13"/>
  <c r="H43" i="13"/>
  <c r="H44" i="13"/>
  <c r="H45" i="13"/>
  <c r="H46" i="13"/>
  <c r="H47" i="13"/>
  <c r="D6" i="1" l="1"/>
  <c r="S24" i="21"/>
  <c r="J24" i="21"/>
  <c r="S23" i="20"/>
  <c r="J24" i="20"/>
  <c r="J18" i="20"/>
  <c r="P17" i="20" l="1"/>
  <c r="S17" i="20"/>
  <c r="J9" i="5"/>
  <c r="S16" i="20"/>
  <c r="S15" i="20"/>
  <c r="O16" i="20"/>
  <c r="O18" i="20" s="1"/>
  <c r="F16" i="20"/>
  <c r="J16" i="20" s="1"/>
  <c r="J17" i="20"/>
  <c r="J15" i="20"/>
  <c r="F18" i="20"/>
  <c r="G18" i="20"/>
  <c r="O73" i="18"/>
  <c r="O66" i="18"/>
  <c r="C18" i="8" l="1"/>
  <c r="E67" i="13"/>
  <c r="E68" i="13"/>
  <c r="F107" i="18"/>
  <c r="I121" i="18"/>
  <c r="I107" i="18" s="1"/>
  <c r="R121" i="18"/>
  <c r="R107" i="18" s="1"/>
  <c r="F122" i="18"/>
  <c r="O107" i="18"/>
  <c r="J107" i="18" l="1"/>
  <c r="S107" i="18"/>
  <c r="R117" i="18"/>
  <c r="O117" i="18"/>
  <c r="F118" i="18"/>
  <c r="T7" i="18"/>
  <c r="T11" i="18"/>
  <c r="J5" i="18"/>
  <c r="J6" i="18"/>
  <c r="J7" i="18"/>
  <c r="J8" i="18"/>
  <c r="J9" i="18"/>
  <c r="J10" i="18"/>
  <c r="J11" i="18"/>
  <c r="J12" i="18"/>
  <c r="J14" i="18"/>
  <c r="T14" i="18" s="1"/>
  <c r="J16" i="18"/>
  <c r="J17" i="18"/>
  <c r="T17" i="18" s="1"/>
  <c r="J18" i="18"/>
  <c r="T18" i="18" s="1"/>
  <c r="J19" i="18"/>
  <c r="J20" i="18"/>
  <c r="J21" i="18"/>
  <c r="T21" i="18" s="1"/>
  <c r="J22" i="18"/>
  <c r="T22" i="18" s="1"/>
  <c r="J23" i="18"/>
  <c r="J24" i="18"/>
  <c r="J25" i="18"/>
  <c r="T25" i="18" s="1"/>
  <c r="J26" i="18"/>
  <c r="T26" i="18" s="1"/>
  <c r="J28" i="18"/>
  <c r="J29" i="18"/>
  <c r="T29" i="18" s="1"/>
  <c r="J30" i="18"/>
  <c r="T30" i="18" s="1"/>
  <c r="J31" i="18"/>
  <c r="J32" i="18"/>
  <c r="J33" i="18"/>
  <c r="T33" i="18" s="1"/>
  <c r="J34" i="18"/>
  <c r="T34" i="18" s="1"/>
  <c r="J35" i="18"/>
  <c r="J36" i="18"/>
  <c r="J37" i="18"/>
  <c r="T37" i="18" s="1"/>
  <c r="J38" i="18"/>
  <c r="T38" i="18" s="1"/>
  <c r="J39" i="18"/>
  <c r="J40" i="18"/>
  <c r="J42" i="18"/>
  <c r="T42" i="18" s="1"/>
  <c r="J43" i="18"/>
  <c r="J44" i="18"/>
  <c r="J45" i="18"/>
  <c r="J46" i="18"/>
  <c r="T46" i="18" s="1"/>
  <c r="J47" i="18"/>
  <c r="J48" i="18"/>
  <c r="J49" i="18"/>
  <c r="J50" i="18"/>
  <c r="T50" i="18" s="1"/>
  <c r="J51" i="18"/>
  <c r="J52" i="18"/>
  <c r="J53" i="18"/>
  <c r="J55" i="18"/>
  <c r="J56" i="18"/>
  <c r="J57" i="18"/>
  <c r="J58" i="18"/>
  <c r="J59" i="18"/>
  <c r="J60" i="18"/>
  <c r="J61" i="18"/>
  <c r="J62" i="18"/>
  <c r="J63" i="18"/>
  <c r="J64" i="18"/>
  <c r="J66" i="18"/>
  <c r="J67" i="18"/>
  <c r="J68" i="18"/>
  <c r="J69" i="18"/>
  <c r="J70" i="18"/>
  <c r="J72" i="18"/>
  <c r="J73" i="18"/>
  <c r="T73" i="18" s="1"/>
  <c r="J74" i="18"/>
  <c r="T74" i="18" s="1"/>
  <c r="J76" i="18"/>
  <c r="J77" i="18"/>
  <c r="J79" i="18"/>
  <c r="T79" i="18" s="1"/>
  <c r="J80" i="18"/>
  <c r="J81" i="18"/>
  <c r="J83" i="18"/>
  <c r="J84" i="18"/>
  <c r="J85" i="18"/>
  <c r="J86" i="18"/>
  <c r="J87" i="18"/>
  <c r="J88" i="18"/>
  <c r="J89" i="18"/>
  <c r="J90" i="18"/>
  <c r="J91" i="18"/>
  <c r="J92" i="18"/>
  <c r="J93" i="18"/>
  <c r="J95" i="18"/>
  <c r="T95" i="18" s="1"/>
  <c r="J96" i="18"/>
  <c r="J98" i="18"/>
  <c r="T98" i="18" s="1"/>
  <c r="J99" i="18"/>
  <c r="T99" i="18" s="1"/>
  <c r="J100" i="18"/>
  <c r="J101" i="18"/>
  <c r="J102" i="18"/>
  <c r="T102" i="18" s="1"/>
  <c r="J104" i="18"/>
  <c r="J105" i="18"/>
  <c r="J106" i="18"/>
  <c r="J108" i="18"/>
  <c r="T108" i="18" s="1"/>
  <c r="J109" i="18"/>
  <c r="J4" i="18"/>
  <c r="S5" i="18"/>
  <c r="T5" i="18" s="1"/>
  <c r="S6" i="18"/>
  <c r="T6" i="18" s="1"/>
  <c r="S7" i="18"/>
  <c r="S8" i="18"/>
  <c r="T8" i="18" s="1"/>
  <c r="S9" i="18"/>
  <c r="T9" i="18" s="1"/>
  <c r="S10" i="18"/>
  <c r="T10" i="18" s="1"/>
  <c r="S11" i="18"/>
  <c r="S12" i="18"/>
  <c r="T12" i="18" s="1"/>
  <c r="S14" i="18"/>
  <c r="S15" i="18"/>
  <c r="S16" i="18"/>
  <c r="T16" i="18" s="1"/>
  <c r="S17" i="18"/>
  <c r="S18" i="18"/>
  <c r="S19" i="18"/>
  <c r="T19" i="18" s="1"/>
  <c r="S20" i="18"/>
  <c r="T20" i="18" s="1"/>
  <c r="S21" i="18"/>
  <c r="S22" i="18"/>
  <c r="S23" i="18"/>
  <c r="T23" i="18" s="1"/>
  <c r="S24" i="18"/>
  <c r="T24" i="18" s="1"/>
  <c r="S25" i="18"/>
  <c r="S26" i="18"/>
  <c r="S28" i="18"/>
  <c r="T28" i="18" s="1"/>
  <c r="S29" i="18"/>
  <c r="S30" i="18"/>
  <c r="S31" i="18"/>
  <c r="T31" i="18" s="1"/>
  <c r="S32" i="18"/>
  <c r="T32" i="18" s="1"/>
  <c r="S33" i="18"/>
  <c r="S34" i="18"/>
  <c r="S35" i="18"/>
  <c r="T35" i="18" s="1"/>
  <c r="S36" i="18"/>
  <c r="T36" i="18" s="1"/>
  <c r="S37" i="18"/>
  <c r="S38" i="18"/>
  <c r="S39" i="18"/>
  <c r="T39" i="18" s="1"/>
  <c r="S40" i="18"/>
  <c r="T40" i="18" s="1"/>
  <c r="S42" i="18"/>
  <c r="S43" i="18"/>
  <c r="T43" i="18" s="1"/>
  <c r="S44" i="18"/>
  <c r="T44" i="18" s="1"/>
  <c r="S45" i="18"/>
  <c r="T45" i="18" s="1"/>
  <c r="S46" i="18"/>
  <c r="S47" i="18"/>
  <c r="T47" i="18" s="1"/>
  <c r="S48" i="18"/>
  <c r="T48" i="18" s="1"/>
  <c r="S49" i="18"/>
  <c r="T49" i="18" s="1"/>
  <c r="S50" i="18"/>
  <c r="S51" i="18"/>
  <c r="T51" i="18" s="1"/>
  <c r="S52" i="18"/>
  <c r="T52" i="18" s="1"/>
  <c r="S53" i="18"/>
  <c r="T53" i="18" s="1"/>
  <c r="S55" i="18"/>
  <c r="T55" i="18" s="1"/>
  <c r="S56" i="18"/>
  <c r="T56" i="18" s="1"/>
  <c r="S57" i="18"/>
  <c r="T57" i="18" s="1"/>
  <c r="S58" i="18"/>
  <c r="T58" i="18" s="1"/>
  <c r="S59" i="18"/>
  <c r="T59" i="18" s="1"/>
  <c r="S60" i="18"/>
  <c r="T60" i="18" s="1"/>
  <c r="S61" i="18"/>
  <c r="T61" i="18" s="1"/>
  <c r="S62" i="18"/>
  <c r="T62" i="18" s="1"/>
  <c r="S63" i="18"/>
  <c r="T63" i="18" s="1"/>
  <c r="S64" i="18"/>
  <c r="T64" i="18" s="1"/>
  <c r="S66" i="18"/>
  <c r="S67" i="18"/>
  <c r="T67" i="18" s="1"/>
  <c r="S68" i="18"/>
  <c r="T68" i="18" s="1"/>
  <c r="S69" i="18"/>
  <c r="T69" i="18" s="1"/>
  <c r="S70" i="18"/>
  <c r="T70" i="18" s="1"/>
  <c r="S72" i="18"/>
  <c r="T72" i="18" s="1"/>
  <c r="S73" i="18"/>
  <c r="S74" i="18"/>
  <c r="S76" i="18"/>
  <c r="T76" i="18" s="1"/>
  <c r="S77" i="18"/>
  <c r="T77" i="18" s="1"/>
  <c r="S79" i="18"/>
  <c r="S80" i="18"/>
  <c r="T80" i="18" s="1"/>
  <c r="S81" i="18"/>
  <c r="T81" i="18" s="1"/>
  <c r="S83" i="18"/>
  <c r="T83" i="18" s="1"/>
  <c r="S84" i="18"/>
  <c r="T84" i="18" s="1"/>
  <c r="S85" i="18"/>
  <c r="T85" i="18" s="1"/>
  <c r="S86" i="18"/>
  <c r="T86" i="18" s="1"/>
  <c r="S87" i="18"/>
  <c r="T87" i="18" s="1"/>
  <c r="S88" i="18"/>
  <c r="T88" i="18" s="1"/>
  <c r="S89" i="18"/>
  <c r="T89" i="18" s="1"/>
  <c r="S90" i="18"/>
  <c r="T90" i="18" s="1"/>
  <c r="S91" i="18"/>
  <c r="T91" i="18" s="1"/>
  <c r="S92" i="18"/>
  <c r="T92" i="18" s="1"/>
  <c r="S93" i="18"/>
  <c r="T93" i="18" s="1"/>
  <c r="S95" i="18"/>
  <c r="S96" i="18"/>
  <c r="T96" i="18" s="1"/>
  <c r="S98" i="18"/>
  <c r="S99" i="18"/>
  <c r="S100" i="18"/>
  <c r="T100" i="18" s="1"/>
  <c r="S101" i="18"/>
  <c r="T101" i="18" s="1"/>
  <c r="S102" i="18"/>
  <c r="S104" i="18"/>
  <c r="T104" i="18" s="1"/>
  <c r="S105" i="18"/>
  <c r="T105" i="18" s="1"/>
  <c r="S106" i="18"/>
  <c r="T106" i="18" s="1"/>
  <c r="S108" i="18"/>
  <c r="S109" i="18"/>
  <c r="T109" i="18" s="1"/>
  <c r="S113" i="18"/>
  <c r="S4" i="18"/>
  <c r="T4" i="18" s="1"/>
  <c r="F15" i="18"/>
  <c r="J15" i="18" s="1"/>
  <c r="S103" i="29"/>
  <c r="R103" i="29"/>
  <c r="Q103" i="29"/>
  <c r="P103" i="29"/>
  <c r="O103" i="29"/>
  <c r="N103" i="29"/>
  <c r="M103" i="29"/>
  <c r="L103" i="29"/>
  <c r="K103" i="29"/>
  <c r="J103" i="29"/>
  <c r="I103" i="29"/>
  <c r="H103" i="29"/>
  <c r="G103" i="29"/>
  <c r="F103" i="29"/>
  <c r="E103" i="29"/>
  <c r="D103" i="29"/>
  <c r="C103" i="29"/>
  <c r="B103" i="29"/>
  <c r="S97" i="29"/>
  <c r="R97" i="29"/>
  <c r="Q97" i="29"/>
  <c r="P97" i="29"/>
  <c r="O97" i="29"/>
  <c r="N97" i="29"/>
  <c r="M97" i="29"/>
  <c r="L97" i="29"/>
  <c r="K97" i="29"/>
  <c r="J97" i="29"/>
  <c r="I97" i="29"/>
  <c r="H97" i="29"/>
  <c r="G97" i="29"/>
  <c r="F97" i="29"/>
  <c r="E97" i="29"/>
  <c r="D97" i="29"/>
  <c r="C97" i="29"/>
  <c r="B97" i="29"/>
  <c r="S94" i="29"/>
  <c r="R94" i="29"/>
  <c r="Q94" i="29"/>
  <c r="P94" i="29"/>
  <c r="O94" i="29"/>
  <c r="N94" i="29"/>
  <c r="M94" i="29"/>
  <c r="L94" i="29"/>
  <c r="K94" i="29"/>
  <c r="J94" i="29"/>
  <c r="I94" i="29"/>
  <c r="H94" i="29"/>
  <c r="G94" i="29"/>
  <c r="F94" i="29"/>
  <c r="E94" i="29"/>
  <c r="D94" i="29"/>
  <c r="C94" i="29"/>
  <c r="B94" i="29"/>
  <c r="S82" i="29"/>
  <c r="R82" i="29"/>
  <c r="Q82" i="29"/>
  <c r="P82" i="29"/>
  <c r="O82" i="29"/>
  <c r="N82" i="29"/>
  <c r="M82" i="29"/>
  <c r="L82" i="29"/>
  <c r="K82" i="29"/>
  <c r="J82" i="29"/>
  <c r="I82" i="29"/>
  <c r="H82" i="29"/>
  <c r="G82" i="29"/>
  <c r="F82" i="29"/>
  <c r="E82" i="29"/>
  <c r="D82" i="29"/>
  <c r="C82" i="29"/>
  <c r="B82" i="29"/>
  <c r="S78" i="29"/>
  <c r="R78" i="29"/>
  <c r="Q78" i="29"/>
  <c r="P78" i="29"/>
  <c r="O78" i="29"/>
  <c r="N78" i="29"/>
  <c r="M78" i="29"/>
  <c r="L78" i="29"/>
  <c r="K78" i="29"/>
  <c r="J78" i="29"/>
  <c r="I78" i="29"/>
  <c r="H78" i="29"/>
  <c r="G78" i="29"/>
  <c r="F78" i="29"/>
  <c r="E78" i="29"/>
  <c r="D78" i="29"/>
  <c r="C78" i="29"/>
  <c r="B78" i="29"/>
  <c r="S75" i="29"/>
  <c r="R75" i="29"/>
  <c r="Q75" i="29"/>
  <c r="P75" i="29"/>
  <c r="O75" i="29"/>
  <c r="N75" i="29"/>
  <c r="M75" i="29"/>
  <c r="L75" i="29"/>
  <c r="K75" i="29"/>
  <c r="J75" i="29"/>
  <c r="I75" i="29"/>
  <c r="H75" i="29"/>
  <c r="G75" i="29"/>
  <c r="F75" i="29"/>
  <c r="E75" i="29"/>
  <c r="D75" i="29"/>
  <c r="C75" i="29"/>
  <c r="B75" i="29"/>
  <c r="S71" i="29"/>
  <c r="R71" i="29"/>
  <c r="Q71" i="29"/>
  <c r="P71" i="29"/>
  <c r="O71" i="29"/>
  <c r="N71" i="29"/>
  <c r="M71" i="29"/>
  <c r="L71" i="29"/>
  <c r="K71" i="29"/>
  <c r="J71" i="29"/>
  <c r="I71" i="29"/>
  <c r="H71" i="29"/>
  <c r="G71" i="29"/>
  <c r="F71" i="29"/>
  <c r="E71" i="29"/>
  <c r="D71" i="29"/>
  <c r="C71" i="29"/>
  <c r="B71" i="29"/>
  <c r="S65" i="29"/>
  <c r="R65" i="29"/>
  <c r="Q65" i="29"/>
  <c r="P65" i="29"/>
  <c r="O65" i="29"/>
  <c r="N65" i="29"/>
  <c r="M65" i="29"/>
  <c r="L65" i="29"/>
  <c r="K65" i="29"/>
  <c r="J65" i="29"/>
  <c r="I65" i="29"/>
  <c r="H65" i="29"/>
  <c r="G65" i="29"/>
  <c r="F65" i="29"/>
  <c r="E65" i="29"/>
  <c r="D65" i="29"/>
  <c r="C65" i="29"/>
  <c r="B65" i="29"/>
  <c r="S54" i="29"/>
  <c r="R54" i="29"/>
  <c r="Q54" i="29"/>
  <c r="P54" i="29"/>
  <c r="O54" i="29"/>
  <c r="N54" i="29"/>
  <c r="M54" i="29"/>
  <c r="L54" i="29"/>
  <c r="K54" i="29"/>
  <c r="J54" i="29"/>
  <c r="I54" i="29"/>
  <c r="H54" i="29"/>
  <c r="G54" i="29"/>
  <c r="F54" i="29"/>
  <c r="E54" i="29"/>
  <c r="D54" i="29"/>
  <c r="C54" i="29"/>
  <c r="B54" i="29"/>
  <c r="S41" i="29"/>
  <c r="R41" i="29"/>
  <c r="Q41" i="29"/>
  <c r="P41" i="29"/>
  <c r="O41" i="29"/>
  <c r="N41" i="29"/>
  <c r="M41" i="29"/>
  <c r="L41" i="29"/>
  <c r="K41" i="29"/>
  <c r="J41" i="29"/>
  <c r="I41" i="29"/>
  <c r="H41" i="29"/>
  <c r="G41" i="29"/>
  <c r="F41" i="29"/>
  <c r="E41" i="29"/>
  <c r="D41" i="29"/>
  <c r="C41" i="29"/>
  <c r="B41" i="29"/>
  <c r="S27" i="29"/>
  <c r="R27" i="29"/>
  <c r="Q27" i="29"/>
  <c r="P27" i="29"/>
  <c r="O27" i="29"/>
  <c r="N27" i="29"/>
  <c r="M27" i="29"/>
  <c r="L27" i="29"/>
  <c r="K27" i="29"/>
  <c r="J27" i="29"/>
  <c r="I27" i="29"/>
  <c r="H27" i="29"/>
  <c r="G27" i="29"/>
  <c r="F27" i="29"/>
  <c r="E27" i="29"/>
  <c r="D27" i="29"/>
  <c r="C27" i="29"/>
  <c r="B27" i="29"/>
  <c r="S13" i="29"/>
  <c r="R13" i="29"/>
  <c r="Q13" i="29"/>
  <c r="P13" i="29"/>
  <c r="O13" i="29"/>
  <c r="N13" i="29"/>
  <c r="M13" i="29"/>
  <c r="L13" i="29"/>
  <c r="K13" i="29"/>
  <c r="J13" i="29"/>
  <c r="I13" i="29"/>
  <c r="H13" i="29"/>
  <c r="G13" i="29"/>
  <c r="F13" i="29"/>
  <c r="E13" i="29"/>
  <c r="D13" i="29"/>
  <c r="C13" i="29"/>
  <c r="B13" i="29"/>
  <c r="T15" i="18" l="1"/>
  <c r="T66" i="18"/>
  <c r="T107" i="18"/>
  <c r="H6" i="9"/>
  <c r="G6" i="9"/>
  <c r="F6" i="9"/>
  <c r="E6" i="9"/>
  <c r="D6" i="9"/>
  <c r="C6" i="9"/>
  <c r="F36" i="10"/>
  <c r="F37" i="10"/>
  <c r="F35" i="10"/>
  <c r="S17" i="21" l="1"/>
  <c r="R17" i="21"/>
  <c r="Q17" i="21"/>
  <c r="P17" i="21"/>
  <c r="O17" i="21"/>
  <c r="N17" i="21"/>
  <c r="M17" i="21"/>
  <c r="L17" i="21"/>
  <c r="K17" i="21"/>
  <c r="J17" i="21"/>
  <c r="C8" i="5" s="1"/>
  <c r="I17" i="21"/>
  <c r="H17" i="21"/>
  <c r="G17" i="21"/>
  <c r="F17" i="21"/>
  <c r="E17" i="21"/>
  <c r="D17" i="21"/>
  <c r="C17" i="21"/>
  <c r="B17" i="21"/>
  <c r="S12" i="21"/>
  <c r="R12" i="21"/>
  <c r="Q12" i="21"/>
  <c r="P12" i="21"/>
  <c r="O12" i="21"/>
  <c r="N12" i="21"/>
  <c r="M12" i="21"/>
  <c r="L12" i="21"/>
  <c r="K12" i="21"/>
  <c r="J12" i="21"/>
  <c r="I12" i="21"/>
  <c r="H12" i="21"/>
  <c r="G12" i="21"/>
  <c r="F12" i="21"/>
  <c r="E12" i="21"/>
  <c r="D12" i="21"/>
  <c r="C12" i="21"/>
  <c r="B12" i="21"/>
  <c r="S8" i="21"/>
  <c r="R8" i="21"/>
  <c r="Q8" i="21"/>
  <c r="P8" i="21"/>
  <c r="O8" i="21"/>
  <c r="N8" i="21"/>
  <c r="M8" i="21"/>
  <c r="L8" i="21"/>
  <c r="K8" i="21"/>
  <c r="J8" i="21"/>
  <c r="I8" i="21"/>
  <c r="H8" i="21"/>
  <c r="G8" i="21"/>
  <c r="F8" i="21"/>
  <c r="E8" i="21"/>
  <c r="D8" i="21"/>
  <c r="C8" i="21"/>
  <c r="B8" i="21"/>
  <c r="S18" i="20"/>
  <c r="J8" i="5" s="1"/>
  <c r="R18" i="20"/>
  <c r="Q18" i="20"/>
  <c r="P18" i="20"/>
  <c r="N18" i="20"/>
  <c r="M18" i="20"/>
  <c r="L18" i="20"/>
  <c r="K18" i="20"/>
  <c r="I18" i="20"/>
  <c r="H18" i="20"/>
  <c r="E18" i="20"/>
  <c r="D18" i="20"/>
  <c r="C18" i="20"/>
  <c r="B18" i="20"/>
  <c r="S13" i="20"/>
  <c r="R13" i="20"/>
  <c r="Q13" i="20"/>
  <c r="P13" i="20"/>
  <c r="O13" i="20"/>
  <c r="N13" i="20"/>
  <c r="M13" i="20"/>
  <c r="L13" i="20"/>
  <c r="K13" i="20"/>
  <c r="J13" i="20"/>
  <c r="I13" i="20"/>
  <c r="H13" i="20"/>
  <c r="G13" i="20"/>
  <c r="F13" i="20"/>
  <c r="E13" i="20"/>
  <c r="D13" i="20"/>
  <c r="C13" i="20"/>
  <c r="B13" i="20"/>
  <c r="S8" i="20"/>
  <c r="R8" i="20"/>
  <c r="Q8" i="20"/>
  <c r="P8" i="20"/>
  <c r="O8" i="20"/>
  <c r="N8" i="20"/>
  <c r="M8" i="20"/>
  <c r="L8" i="20"/>
  <c r="K8" i="20"/>
  <c r="J8" i="20"/>
  <c r="I8" i="20"/>
  <c r="H8" i="20"/>
  <c r="G8" i="20"/>
  <c r="F8" i="20"/>
  <c r="E8" i="20"/>
  <c r="D8" i="20"/>
  <c r="C8" i="20"/>
  <c r="B8" i="20"/>
  <c r="B38" i="19" l="1"/>
  <c r="C38" i="19"/>
  <c r="D38" i="19"/>
  <c r="E38" i="19"/>
  <c r="F38" i="19"/>
  <c r="G38" i="19"/>
  <c r="D15" i="4" s="1"/>
  <c r="H38" i="19"/>
  <c r="I38" i="19"/>
  <c r="J38" i="19"/>
  <c r="K38" i="19"/>
  <c r="L38" i="19"/>
  <c r="M38" i="19"/>
  <c r="N38" i="19"/>
  <c r="O38" i="19"/>
  <c r="P38" i="19"/>
  <c r="D16" i="4" s="1"/>
  <c r="Q38" i="19"/>
  <c r="E15" i="4" s="1"/>
  <c r="R38" i="19"/>
  <c r="S38" i="19"/>
  <c r="P115" i="19"/>
  <c r="N115" i="19"/>
  <c r="F101" i="4" l="1"/>
  <c r="F100" i="4"/>
  <c r="E101" i="4"/>
  <c r="E100" i="4"/>
  <c r="D101" i="4"/>
  <c r="D100" i="4"/>
  <c r="C101" i="4"/>
  <c r="C100" i="4"/>
  <c r="B100" i="4"/>
  <c r="F96" i="4"/>
  <c r="F95" i="4"/>
  <c r="E96" i="4"/>
  <c r="E95" i="4"/>
  <c r="D96" i="4"/>
  <c r="D95" i="4"/>
  <c r="C96" i="4"/>
  <c r="C95" i="4"/>
  <c r="F91" i="4"/>
  <c r="F90" i="4"/>
  <c r="E91" i="4"/>
  <c r="E90" i="4"/>
  <c r="D91" i="4"/>
  <c r="D90" i="4"/>
  <c r="C91" i="4"/>
  <c r="C90" i="4"/>
  <c r="F76" i="4" l="1"/>
  <c r="F75" i="4"/>
  <c r="E76" i="4"/>
  <c r="E75" i="4"/>
  <c r="D76" i="4"/>
  <c r="D75" i="4"/>
  <c r="C76" i="4"/>
  <c r="C75" i="4"/>
  <c r="F56" i="4"/>
  <c r="F55" i="4"/>
  <c r="E56" i="4"/>
  <c r="E55" i="4"/>
  <c r="D56" i="4"/>
  <c r="D55" i="4"/>
  <c r="C56" i="4"/>
  <c r="C55" i="4"/>
  <c r="F51" i="4"/>
  <c r="F50" i="4"/>
  <c r="E51" i="4"/>
  <c r="E50" i="4"/>
  <c r="D51" i="4"/>
  <c r="D50" i="4"/>
  <c r="C51" i="4"/>
  <c r="C50" i="4"/>
  <c r="E35" i="4" l="1"/>
  <c r="D31" i="4"/>
  <c r="D30" i="4"/>
  <c r="C31" i="4"/>
  <c r="C30" i="4"/>
  <c r="F16" i="4"/>
  <c r="F15" i="4"/>
  <c r="E16" i="4"/>
  <c r="C16" i="4"/>
  <c r="C15" i="4"/>
  <c r="E10" i="4"/>
  <c r="C10" i="4"/>
  <c r="E5" i="4"/>
  <c r="F51" i="3"/>
  <c r="F50" i="3"/>
  <c r="F101" i="3"/>
  <c r="F100" i="3"/>
  <c r="E101" i="3"/>
  <c r="E100" i="3"/>
  <c r="F96" i="3"/>
  <c r="F95" i="3"/>
  <c r="C96" i="3"/>
  <c r="C95" i="3"/>
  <c r="F91" i="3"/>
  <c r="F90" i="3"/>
  <c r="E91" i="3"/>
  <c r="E90" i="3"/>
  <c r="D91" i="3"/>
  <c r="D90" i="3"/>
  <c r="C91" i="3"/>
  <c r="C90" i="3"/>
  <c r="B91" i="3"/>
  <c r="B90" i="3"/>
  <c r="F76" i="3"/>
  <c r="F75" i="3"/>
  <c r="C76" i="3"/>
  <c r="C75" i="3"/>
  <c r="F61" i="3"/>
  <c r="F60" i="3"/>
  <c r="E60" i="3"/>
  <c r="D60" i="3"/>
  <c r="C60" i="3"/>
  <c r="F55" i="3"/>
  <c r="C56" i="3"/>
  <c r="C55" i="3"/>
  <c r="C108" i="19"/>
  <c r="D108" i="19"/>
  <c r="E108" i="19"/>
  <c r="F108" i="19"/>
  <c r="G108" i="19"/>
  <c r="H108" i="19"/>
  <c r="E60" i="4" s="1"/>
  <c r="I108" i="19"/>
  <c r="F60" i="4" s="1"/>
  <c r="J108" i="19"/>
  <c r="K108" i="19"/>
  <c r="L108" i="19"/>
  <c r="M108" i="19"/>
  <c r="C61" i="4" s="1"/>
  <c r="N108" i="19"/>
  <c r="O108" i="19"/>
  <c r="P108" i="19"/>
  <c r="Q108" i="19"/>
  <c r="E61" i="4" s="1"/>
  <c r="R108" i="19"/>
  <c r="F61" i="4" s="1"/>
  <c r="S108" i="19"/>
  <c r="B108" i="19"/>
  <c r="C102" i="19"/>
  <c r="D102" i="19"/>
  <c r="E102" i="19"/>
  <c r="F102" i="19"/>
  <c r="G102" i="19"/>
  <c r="H102" i="19"/>
  <c r="E80" i="4" s="1"/>
  <c r="I102" i="19"/>
  <c r="J102" i="19"/>
  <c r="K102" i="19"/>
  <c r="L102" i="19"/>
  <c r="M102" i="19"/>
  <c r="C81" i="4" s="1"/>
  <c r="N102" i="19"/>
  <c r="O102" i="19"/>
  <c r="D81" i="4" s="1"/>
  <c r="P102" i="19"/>
  <c r="Q102" i="19"/>
  <c r="E81" i="4" s="1"/>
  <c r="R102" i="19"/>
  <c r="S102" i="19"/>
  <c r="B102" i="19"/>
  <c r="C92" i="19"/>
  <c r="D92" i="19"/>
  <c r="E92" i="19"/>
  <c r="F92" i="19"/>
  <c r="G92" i="19"/>
  <c r="H92" i="19"/>
  <c r="E85" i="4" s="1"/>
  <c r="I92" i="19"/>
  <c r="F85" i="4" s="1"/>
  <c r="J92" i="19"/>
  <c r="K92" i="19"/>
  <c r="L92" i="19"/>
  <c r="M92" i="19"/>
  <c r="C86" i="4" s="1"/>
  <c r="N92" i="19"/>
  <c r="O92" i="19"/>
  <c r="D86" i="4" s="1"/>
  <c r="P92" i="19"/>
  <c r="Q92" i="19"/>
  <c r="E86" i="4" s="1"/>
  <c r="R92" i="19"/>
  <c r="F86" i="4" s="1"/>
  <c r="S92" i="19"/>
  <c r="B92" i="19"/>
  <c r="C87" i="19"/>
  <c r="D87" i="19"/>
  <c r="E87" i="19"/>
  <c r="F87" i="19"/>
  <c r="G87" i="19"/>
  <c r="H87" i="19"/>
  <c r="I87" i="19"/>
  <c r="F70" i="4" s="1"/>
  <c r="J87" i="19"/>
  <c r="K87" i="19"/>
  <c r="L87" i="19"/>
  <c r="M87" i="19"/>
  <c r="C71" i="4" s="1"/>
  <c r="N87" i="19"/>
  <c r="O87" i="19"/>
  <c r="P87" i="19"/>
  <c r="Q87" i="19"/>
  <c r="R87" i="19"/>
  <c r="F71" i="4" s="1"/>
  <c r="S87" i="19"/>
  <c r="B87" i="19"/>
  <c r="C83" i="19"/>
  <c r="D83" i="19"/>
  <c r="E83" i="19"/>
  <c r="F83" i="19"/>
  <c r="G83" i="19"/>
  <c r="H83" i="19"/>
  <c r="E65" i="4" s="1"/>
  <c r="I83" i="19"/>
  <c r="F65" i="4" s="1"/>
  <c r="J83" i="19"/>
  <c r="K83" i="19"/>
  <c r="L83" i="19"/>
  <c r="M83" i="19"/>
  <c r="C66" i="4" s="1"/>
  <c r="N83" i="19"/>
  <c r="O83" i="19"/>
  <c r="D66" i="4" s="1"/>
  <c r="P83" i="19"/>
  <c r="Q83" i="19"/>
  <c r="E66" i="4" s="1"/>
  <c r="R83" i="19"/>
  <c r="F66" i="4" s="1"/>
  <c r="S83" i="19"/>
  <c r="B83" i="19"/>
  <c r="C71" i="19"/>
  <c r="D71" i="19"/>
  <c r="E71" i="19"/>
  <c r="F71" i="19"/>
  <c r="G71" i="19"/>
  <c r="H71" i="19"/>
  <c r="E45" i="4" s="1"/>
  <c r="I71" i="19"/>
  <c r="F45" i="4" s="1"/>
  <c r="J71" i="19"/>
  <c r="K71" i="19"/>
  <c r="L71" i="19"/>
  <c r="M71" i="19"/>
  <c r="C46" i="4" s="1"/>
  <c r="N71" i="19"/>
  <c r="O71" i="19"/>
  <c r="P71" i="19"/>
  <c r="Q71" i="19"/>
  <c r="R71" i="19"/>
  <c r="F46" i="4" s="1"/>
  <c r="S71" i="19"/>
  <c r="B71" i="19"/>
  <c r="C67" i="19"/>
  <c r="D67" i="19"/>
  <c r="C40" i="4" s="1"/>
  <c r="E67" i="19"/>
  <c r="F67" i="19"/>
  <c r="G67" i="19"/>
  <c r="H67" i="19"/>
  <c r="E40" i="4" s="1"/>
  <c r="I67" i="19"/>
  <c r="F40" i="4" s="1"/>
  <c r="J67" i="19"/>
  <c r="K67" i="19"/>
  <c r="L67" i="19"/>
  <c r="M67" i="19"/>
  <c r="C41" i="4" s="1"/>
  <c r="N67" i="19"/>
  <c r="O67" i="19"/>
  <c r="P67" i="19"/>
  <c r="Q67" i="19"/>
  <c r="E41" i="4" s="1"/>
  <c r="R67" i="19"/>
  <c r="F41" i="4" s="1"/>
  <c r="S67" i="19"/>
  <c r="B67" i="19"/>
  <c r="C64" i="19"/>
  <c r="D64" i="19"/>
  <c r="E64" i="19"/>
  <c r="C35" i="4" s="1"/>
  <c r="F64" i="19"/>
  <c r="D35" i="4" s="1"/>
  <c r="G64" i="19"/>
  <c r="H64" i="19"/>
  <c r="I64" i="19"/>
  <c r="F35" i="4" s="1"/>
  <c r="J64" i="19"/>
  <c r="K64" i="19"/>
  <c r="L64" i="19"/>
  <c r="M64" i="19"/>
  <c r="C36" i="4" s="1"/>
  <c r="N64" i="19"/>
  <c r="O64" i="19"/>
  <c r="D36" i="4" s="1"/>
  <c r="P64" i="19"/>
  <c r="Q64" i="19"/>
  <c r="E36" i="4" s="1"/>
  <c r="R64" i="19"/>
  <c r="F36" i="4" s="1"/>
  <c r="S64" i="19"/>
  <c r="B64" i="19"/>
  <c r="C59" i="19"/>
  <c r="D59" i="19"/>
  <c r="C25" i="4" s="1"/>
  <c r="E59" i="19"/>
  <c r="F59" i="19"/>
  <c r="G59" i="19"/>
  <c r="H59" i="19"/>
  <c r="I59" i="19"/>
  <c r="F25" i="4" s="1"/>
  <c r="J59" i="19"/>
  <c r="K59" i="19"/>
  <c r="L59" i="19"/>
  <c r="M59" i="19"/>
  <c r="C26" i="4" s="1"/>
  <c r="N59" i="19"/>
  <c r="O59" i="19"/>
  <c r="P59" i="19"/>
  <c r="Q59" i="19"/>
  <c r="R59" i="19"/>
  <c r="F26" i="4" s="1"/>
  <c r="S59" i="19"/>
  <c r="B59" i="19"/>
  <c r="C48" i="19"/>
  <c r="D48" i="19"/>
  <c r="E48" i="19"/>
  <c r="F48" i="19"/>
  <c r="D20" i="4" s="1"/>
  <c r="G48" i="19"/>
  <c r="H48" i="19"/>
  <c r="E20" i="4" s="1"/>
  <c r="I48" i="19"/>
  <c r="F20" i="4" s="1"/>
  <c r="J48" i="19"/>
  <c r="K48" i="19"/>
  <c r="L48" i="19"/>
  <c r="M48" i="19"/>
  <c r="C21" i="4" s="1"/>
  <c r="N48" i="19"/>
  <c r="O48" i="19"/>
  <c r="D21" i="4" s="1"/>
  <c r="P48" i="19"/>
  <c r="Q48" i="19"/>
  <c r="E21" i="4" s="1"/>
  <c r="R48" i="19"/>
  <c r="F21" i="4" s="1"/>
  <c r="S48" i="19"/>
  <c r="B48" i="19"/>
  <c r="C24" i="19"/>
  <c r="D24" i="19"/>
  <c r="E24" i="19"/>
  <c r="F24" i="19"/>
  <c r="D10" i="4" s="1"/>
  <c r="G24" i="19"/>
  <c r="H24" i="19"/>
  <c r="I24" i="19"/>
  <c r="F10" i="4" s="1"/>
  <c r="J24" i="19"/>
  <c r="K24" i="19"/>
  <c r="L24" i="19"/>
  <c r="M24" i="19"/>
  <c r="C11" i="4" s="1"/>
  <c r="N24" i="19"/>
  <c r="O24" i="19"/>
  <c r="D11" i="4" s="1"/>
  <c r="P24" i="19"/>
  <c r="Q24" i="19"/>
  <c r="E11" i="4" s="1"/>
  <c r="R24" i="19"/>
  <c r="F11" i="4" s="1"/>
  <c r="S24" i="19"/>
  <c r="B24" i="19"/>
  <c r="C11" i="19"/>
  <c r="D11" i="19"/>
  <c r="C5" i="4" s="1"/>
  <c r="E11" i="19"/>
  <c r="F11" i="19"/>
  <c r="D5" i="4" s="1"/>
  <c r="G11" i="19"/>
  <c r="H11" i="19"/>
  <c r="I11" i="19"/>
  <c r="F5" i="4" s="1"/>
  <c r="J11" i="19"/>
  <c r="K11" i="19"/>
  <c r="L11" i="19"/>
  <c r="M11" i="19"/>
  <c r="C6" i="4" s="1"/>
  <c r="N11" i="19"/>
  <c r="O11" i="19"/>
  <c r="P11" i="19"/>
  <c r="Q11" i="19"/>
  <c r="E6" i="4" s="1"/>
  <c r="R11" i="19"/>
  <c r="F6" i="4" s="1"/>
  <c r="S11" i="19"/>
  <c r="B11" i="19"/>
  <c r="C103" i="18"/>
  <c r="D103" i="18"/>
  <c r="C85" i="3" s="1"/>
  <c r="E103" i="18"/>
  <c r="F103" i="18"/>
  <c r="G103" i="18"/>
  <c r="H103" i="18"/>
  <c r="E85" i="3" s="1"/>
  <c r="I103" i="18"/>
  <c r="F85" i="3" s="1"/>
  <c r="K103" i="18"/>
  <c r="L103" i="18"/>
  <c r="M103" i="18"/>
  <c r="C86" i="3" s="1"/>
  <c r="N103" i="18"/>
  <c r="O103" i="18"/>
  <c r="P103" i="18"/>
  <c r="Q103" i="18"/>
  <c r="E86" i="3" s="1"/>
  <c r="R103" i="18"/>
  <c r="F86" i="3" s="1"/>
  <c r="B103" i="18"/>
  <c r="C97" i="18"/>
  <c r="D97" i="18"/>
  <c r="C70" i="3" s="1"/>
  <c r="E97" i="18"/>
  <c r="F97" i="18"/>
  <c r="G97" i="18"/>
  <c r="H97" i="18"/>
  <c r="I97" i="18"/>
  <c r="F70" i="3" s="1"/>
  <c r="K97" i="18"/>
  <c r="L97" i="18"/>
  <c r="M97" i="18"/>
  <c r="N97" i="18"/>
  <c r="O97" i="18"/>
  <c r="P97" i="18"/>
  <c r="Q97" i="18"/>
  <c r="R97" i="18"/>
  <c r="F71" i="3" s="1"/>
  <c r="B97" i="18"/>
  <c r="C94" i="18"/>
  <c r="D94" i="18"/>
  <c r="C65" i="3" s="1"/>
  <c r="E94" i="18"/>
  <c r="F94" i="18"/>
  <c r="G94" i="18"/>
  <c r="H94" i="18"/>
  <c r="E65" i="3" s="1"/>
  <c r="I94" i="18"/>
  <c r="F65" i="3" s="1"/>
  <c r="K94" i="18"/>
  <c r="L94" i="18"/>
  <c r="M94" i="18"/>
  <c r="C66" i="3" s="1"/>
  <c r="N94" i="18"/>
  <c r="O94" i="18"/>
  <c r="P94" i="18"/>
  <c r="Q94" i="18"/>
  <c r="E66" i="3" s="1"/>
  <c r="R94" i="18"/>
  <c r="F66" i="3" s="1"/>
  <c r="B94" i="18"/>
  <c r="C82" i="18"/>
  <c r="D82" i="18"/>
  <c r="C45" i="3" s="1"/>
  <c r="E82" i="18"/>
  <c r="F82" i="18"/>
  <c r="G82" i="18"/>
  <c r="H82" i="18"/>
  <c r="E45" i="3" s="1"/>
  <c r="I82" i="18"/>
  <c r="F45" i="3" s="1"/>
  <c r="K82" i="18"/>
  <c r="L82" i="18"/>
  <c r="M82" i="18"/>
  <c r="C46" i="3" s="1"/>
  <c r="N82" i="18"/>
  <c r="O82" i="18"/>
  <c r="P82" i="18"/>
  <c r="Q82" i="18"/>
  <c r="E46" i="3" s="1"/>
  <c r="R82" i="18"/>
  <c r="F46" i="3" s="1"/>
  <c r="B82" i="18"/>
  <c r="C78" i="18"/>
  <c r="D78" i="18"/>
  <c r="E78" i="18"/>
  <c r="F78" i="18"/>
  <c r="G78" i="18"/>
  <c r="H78" i="18"/>
  <c r="I78" i="18"/>
  <c r="F40" i="3" s="1"/>
  <c r="K78" i="18"/>
  <c r="L78" i="18"/>
  <c r="M78" i="18"/>
  <c r="N78" i="18"/>
  <c r="O78" i="18"/>
  <c r="P78" i="18"/>
  <c r="Q78" i="18"/>
  <c r="R78" i="18"/>
  <c r="F41" i="3" s="1"/>
  <c r="B78" i="18"/>
  <c r="C75" i="18"/>
  <c r="D75" i="18"/>
  <c r="C35" i="3" s="1"/>
  <c r="E75" i="18"/>
  <c r="F75" i="18"/>
  <c r="G75" i="18"/>
  <c r="H75" i="18"/>
  <c r="E35" i="3" s="1"/>
  <c r="I75" i="18"/>
  <c r="K75" i="18"/>
  <c r="L75" i="18"/>
  <c r="M75" i="18"/>
  <c r="C36" i="3" s="1"/>
  <c r="N75" i="18"/>
  <c r="O75" i="18"/>
  <c r="P75" i="18"/>
  <c r="Q75" i="18"/>
  <c r="E36" i="3" s="1"/>
  <c r="R75" i="18"/>
  <c r="F36" i="3" s="1"/>
  <c r="B75" i="18"/>
  <c r="C71" i="18"/>
  <c r="D71" i="18"/>
  <c r="C30" i="3" s="1"/>
  <c r="E71" i="18"/>
  <c r="F71" i="18"/>
  <c r="G71" i="18"/>
  <c r="H71" i="18"/>
  <c r="E30" i="3" s="1"/>
  <c r="I71" i="18"/>
  <c r="F30" i="3" s="1"/>
  <c r="K71" i="18"/>
  <c r="L71" i="18"/>
  <c r="M71" i="18"/>
  <c r="C31" i="3" s="1"/>
  <c r="N71" i="18"/>
  <c r="O71" i="18"/>
  <c r="P71" i="18"/>
  <c r="Q71" i="18"/>
  <c r="E31" i="3" s="1"/>
  <c r="R71" i="18"/>
  <c r="F31" i="3" s="1"/>
  <c r="B71" i="18"/>
  <c r="C65" i="18"/>
  <c r="D65" i="18"/>
  <c r="C25" i="3" s="1"/>
  <c r="E65" i="18"/>
  <c r="F65" i="18"/>
  <c r="G65" i="18"/>
  <c r="H65" i="18"/>
  <c r="E25" i="3" s="1"/>
  <c r="I65" i="18"/>
  <c r="F25" i="3" s="1"/>
  <c r="K65" i="18"/>
  <c r="L65" i="18"/>
  <c r="M65" i="18"/>
  <c r="C26" i="3" s="1"/>
  <c r="N65" i="18"/>
  <c r="O65" i="18"/>
  <c r="P65" i="18"/>
  <c r="Q65" i="18"/>
  <c r="E26" i="3" s="1"/>
  <c r="R65" i="18"/>
  <c r="F26" i="3" s="1"/>
  <c r="B65" i="18"/>
  <c r="C54" i="18"/>
  <c r="D54" i="18"/>
  <c r="C20" i="3" s="1"/>
  <c r="E54" i="18"/>
  <c r="F54" i="18"/>
  <c r="G54" i="18"/>
  <c r="H54" i="18"/>
  <c r="E20" i="3" s="1"/>
  <c r="I54" i="18"/>
  <c r="F20" i="3" s="1"/>
  <c r="K54" i="18"/>
  <c r="L54" i="18"/>
  <c r="M54" i="18"/>
  <c r="C21" i="3" s="1"/>
  <c r="N54" i="18"/>
  <c r="O54" i="18"/>
  <c r="P54" i="18"/>
  <c r="Q54" i="18"/>
  <c r="E21" i="3" s="1"/>
  <c r="R54" i="18"/>
  <c r="F21" i="3" s="1"/>
  <c r="B54" i="18"/>
  <c r="C41" i="18"/>
  <c r="D41" i="18"/>
  <c r="C15" i="3" s="1"/>
  <c r="E41" i="18"/>
  <c r="F41" i="18"/>
  <c r="G41" i="18"/>
  <c r="H41" i="18"/>
  <c r="E15" i="3" s="1"/>
  <c r="I41" i="18"/>
  <c r="F15" i="3" s="1"/>
  <c r="K41" i="18"/>
  <c r="L41" i="18"/>
  <c r="M41" i="18"/>
  <c r="C16" i="3" s="1"/>
  <c r="N41" i="18"/>
  <c r="O41" i="18"/>
  <c r="P41" i="18"/>
  <c r="Q41" i="18"/>
  <c r="E16" i="3" s="1"/>
  <c r="R41" i="18"/>
  <c r="F16" i="3" s="1"/>
  <c r="B41" i="18"/>
  <c r="C27" i="18"/>
  <c r="D27" i="18"/>
  <c r="C10" i="3" s="1"/>
  <c r="E27" i="18"/>
  <c r="F27" i="18"/>
  <c r="G27" i="18"/>
  <c r="H27" i="18"/>
  <c r="E10" i="3" s="1"/>
  <c r="I27" i="18"/>
  <c r="F10" i="3" s="1"/>
  <c r="K27" i="18"/>
  <c r="L27" i="18"/>
  <c r="M27" i="18"/>
  <c r="C11" i="3" s="1"/>
  <c r="N27" i="18"/>
  <c r="O27" i="18"/>
  <c r="P27" i="18"/>
  <c r="Q27" i="18"/>
  <c r="E11" i="3" s="1"/>
  <c r="R27" i="18"/>
  <c r="F11" i="3" s="1"/>
  <c r="B27" i="18"/>
  <c r="C13" i="18"/>
  <c r="D13" i="18"/>
  <c r="C5" i="3" s="1"/>
  <c r="E13" i="18"/>
  <c r="F13" i="18"/>
  <c r="G13" i="18"/>
  <c r="H13" i="18"/>
  <c r="E5" i="3" s="1"/>
  <c r="I13" i="18"/>
  <c r="F5" i="3" s="1"/>
  <c r="K13" i="18"/>
  <c r="L13" i="18"/>
  <c r="M13" i="18"/>
  <c r="C6" i="3" s="1"/>
  <c r="N13" i="18"/>
  <c r="O13" i="18"/>
  <c r="P13" i="18"/>
  <c r="Q13" i="18"/>
  <c r="E6" i="3" s="1"/>
  <c r="R13" i="18"/>
  <c r="F6" i="3" s="1"/>
  <c r="B13" i="18"/>
  <c r="J13" i="18" l="1"/>
  <c r="D6" i="3"/>
  <c r="D5" i="3"/>
  <c r="J27" i="18"/>
  <c r="D11" i="3"/>
  <c r="D10" i="3"/>
  <c r="J41" i="18"/>
  <c r="D16" i="3"/>
  <c r="D15" i="3"/>
  <c r="J54" i="18"/>
  <c r="D21" i="3"/>
  <c r="J65" i="18"/>
  <c r="D26" i="3"/>
  <c r="D25" i="3"/>
  <c r="J71" i="18"/>
  <c r="D31" i="3"/>
  <c r="D30" i="3"/>
  <c r="D36" i="3"/>
  <c r="D35" i="3"/>
  <c r="J78" i="18"/>
  <c r="J82" i="18"/>
  <c r="D45" i="3"/>
  <c r="J94" i="18"/>
  <c r="D66" i="3"/>
  <c r="D65" i="3"/>
  <c r="J97" i="18"/>
  <c r="J103" i="18"/>
  <c r="D86" i="3"/>
  <c r="D85" i="3"/>
  <c r="C20" i="4"/>
  <c r="D40" i="4"/>
  <c r="C45" i="4"/>
  <c r="D65" i="4"/>
  <c r="C70" i="4"/>
  <c r="D85" i="4"/>
  <c r="C80" i="4"/>
  <c r="D60" i="4"/>
  <c r="D45" i="4"/>
  <c r="C65" i="4"/>
  <c r="C85" i="4"/>
  <c r="D80" i="4"/>
  <c r="C60" i="4"/>
  <c r="F35" i="3"/>
  <c r="J75" i="18"/>
  <c r="S41" i="18"/>
  <c r="S75" i="18"/>
  <c r="S97" i="18"/>
  <c r="T97" i="18" s="1"/>
  <c r="S54" i="18"/>
  <c r="T54" i="18" s="1"/>
  <c r="S78" i="18"/>
  <c r="S103" i="18"/>
  <c r="S13" i="18"/>
  <c r="T13" i="18" s="1"/>
  <c r="D20" i="3"/>
  <c r="S65" i="18"/>
  <c r="S82" i="18"/>
  <c r="T82" i="18" s="1"/>
  <c r="S27" i="18"/>
  <c r="S71" i="18"/>
  <c r="T71" i="18" s="1"/>
  <c r="S94" i="18"/>
  <c r="D8" i="3"/>
  <c r="D75" i="13"/>
  <c r="T27" i="18" l="1"/>
  <c r="T103" i="18"/>
  <c r="T94" i="18"/>
  <c r="T65" i="18"/>
  <c r="T78" i="18"/>
  <c r="T41" i="18"/>
  <c r="T75" i="18"/>
  <c r="F20" i="1"/>
  <c r="F19" i="1"/>
  <c r="F9" i="1"/>
  <c r="F21" i="1" s="1"/>
  <c r="L19" i="1" l="1"/>
  <c r="L20" i="1"/>
  <c r="F8" i="10"/>
  <c r="F7" i="10"/>
  <c r="L21" i="1" l="1"/>
  <c r="F9" i="5" l="1"/>
  <c r="F8" i="5"/>
  <c r="F7" i="5"/>
  <c r="F6" i="5"/>
  <c r="F5" i="5"/>
  <c r="F4" i="5"/>
  <c r="E8" i="10" l="1"/>
  <c r="E7" i="10"/>
  <c r="F9" i="10"/>
  <c r="E24" i="2"/>
  <c r="F10" i="5"/>
  <c r="D8" i="5"/>
  <c r="D10" i="5" s="1"/>
  <c r="E22" i="2"/>
  <c r="D22" i="2"/>
  <c r="D24" i="2" s="1"/>
  <c r="N26" i="2"/>
  <c r="E14" i="10" l="1"/>
  <c r="G14" i="10"/>
  <c r="E15" i="10"/>
  <c r="G15" i="10"/>
  <c r="E9" i="10"/>
  <c r="G16" i="10" l="1"/>
  <c r="G18" i="10" s="1"/>
  <c r="E16" i="10"/>
  <c r="E18" i="10" s="1"/>
  <c r="C4" i="5"/>
  <c r="G4" i="5" l="1"/>
  <c r="E4" i="5"/>
  <c r="E64" i="13" l="1"/>
  <c r="E65" i="13"/>
  <c r="E66" i="13"/>
  <c r="E63" i="13"/>
  <c r="E75" i="13" s="1"/>
  <c r="H58" i="13"/>
  <c r="J7" i="5" l="1"/>
  <c r="J6" i="5"/>
  <c r="J5" i="5"/>
  <c r="C9" i="5"/>
  <c r="C7" i="5"/>
  <c r="C6" i="5"/>
  <c r="C5" i="5"/>
  <c r="J4" i="5"/>
  <c r="G9" i="5" l="1"/>
  <c r="E9" i="5"/>
  <c r="G7" i="5"/>
  <c r="E7" i="5"/>
  <c r="E6" i="5"/>
  <c r="G6" i="5"/>
  <c r="J10" i="5"/>
  <c r="K4" i="5"/>
  <c r="C10" i="5"/>
  <c r="G8" i="5"/>
  <c r="G5" i="9" s="1"/>
  <c r="E8" i="5"/>
  <c r="K8" i="5"/>
  <c r="E5" i="5"/>
  <c r="G5" i="5"/>
  <c r="B90" i="4"/>
  <c r="F81" i="4"/>
  <c r="D61" i="4"/>
  <c r="K10" i="5" l="1"/>
  <c r="E10" i="5"/>
  <c r="G10" i="5"/>
  <c r="E26" i="4"/>
  <c r="E25" i="4"/>
  <c r="I30" i="3"/>
  <c r="I25" i="3"/>
  <c r="I20" i="3"/>
  <c r="I15" i="3"/>
  <c r="I10" i="3"/>
  <c r="I5" i="3"/>
  <c r="E76" i="3"/>
  <c r="D76" i="3"/>
  <c r="E71" i="3"/>
  <c r="E70" i="3"/>
  <c r="D71" i="3"/>
  <c r="D70" i="3"/>
  <c r="C71" i="3"/>
  <c r="C40" i="3"/>
  <c r="D46" i="3"/>
  <c r="C41" i="3"/>
  <c r="D41" i="3"/>
  <c r="D40" i="3"/>
  <c r="E31" i="4"/>
  <c r="H18" i="23"/>
  <c r="H65" i="23"/>
  <c r="I47" i="23"/>
  <c r="I34" i="23"/>
  <c r="E5" i="8"/>
  <c r="F5" i="8" s="1"/>
  <c r="E6" i="8"/>
  <c r="F6" i="8" s="1"/>
  <c r="E7" i="8"/>
  <c r="F7" i="8" s="1"/>
  <c r="E8" i="8"/>
  <c r="F8" i="8" s="1"/>
  <c r="E9" i="8"/>
  <c r="F9" i="8" s="1"/>
  <c r="E10" i="8"/>
  <c r="F10" i="8" s="1"/>
  <c r="E11" i="8"/>
  <c r="E12" i="8"/>
  <c r="F12" i="8" s="1"/>
  <c r="E13" i="8"/>
  <c r="F13" i="8" s="1"/>
  <c r="E14" i="8"/>
  <c r="F14" i="8" s="1"/>
  <c r="E15" i="8"/>
  <c r="F15" i="8" s="1"/>
  <c r="E16" i="8"/>
  <c r="F16" i="8" s="1"/>
  <c r="E17" i="8"/>
  <c r="F17" i="8" s="1"/>
  <c r="E4" i="8"/>
  <c r="F4" i="8" s="1"/>
  <c r="H110" i="13"/>
  <c r="E110" i="13"/>
  <c r="D110" i="13"/>
  <c r="F106" i="13"/>
  <c r="F107" i="13" s="1"/>
  <c r="F108" i="13" s="1"/>
  <c r="F109" i="13" s="1"/>
  <c r="F102" i="13"/>
  <c r="F103" i="13" s="1"/>
  <c r="F104" i="13" s="1"/>
  <c r="F105" i="13" s="1"/>
  <c r="F98" i="13"/>
  <c r="F99" i="13" s="1"/>
  <c r="F100" i="13" s="1"/>
  <c r="F101" i="13" s="1"/>
  <c r="E18" i="8" l="1"/>
  <c r="F11" i="8"/>
  <c r="E59" i="13"/>
  <c r="D59" i="13"/>
  <c r="H56" i="13"/>
  <c r="H57" i="13"/>
  <c r="H55" i="13"/>
  <c r="F55" i="13"/>
  <c r="F56" i="13" s="1"/>
  <c r="F57" i="13" s="1"/>
  <c r="F58" i="13" s="1"/>
  <c r="H59" i="13" l="1"/>
  <c r="H4" i="9"/>
  <c r="G4" i="9"/>
  <c r="F4" i="9"/>
  <c r="E4" i="9"/>
  <c r="D4" i="9"/>
  <c r="C4" i="9"/>
  <c r="B7" i="9"/>
  <c r="B6" i="9"/>
  <c r="B5" i="9"/>
  <c r="B4" i="9"/>
  <c r="G34" i="10" l="1"/>
  <c r="F34" i="10"/>
  <c r="E34" i="10"/>
  <c r="D34" i="10"/>
  <c r="F103" i="3" l="1"/>
  <c r="E41" i="3"/>
  <c r="E40" i="3"/>
  <c r="F18" i="3"/>
  <c r="H27" i="23"/>
  <c r="I27" i="23" s="1"/>
  <c r="H40" i="23"/>
  <c r="H41" i="23"/>
  <c r="H42" i="23"/>
  <c r="H43" i="23"/>
  <c r="H44" i="23"/>
  <c r="H45" i="23"/>
  <c r="H46" i="23"/>
  <c r="G56" i="23"/>
  <c r="J56" i="23" s="1"/>
  <c r="G57" i="23"/>
  <c r="H57" i="23" s="1"/>
  <c r="B18" i="8"/>
  <c r="J27" i="23"/>
  <c r="G64" i="23"/>
  <c r="J64" i="23" s="1"/>
  <c r="G63" i="23"/>
  <c r="G62" i="23"/>
  <c r="G53" i="23"/>
  <c r="G52" i="23"/>
  <c r="G51" i="23"/>
  <c r="B52" i="23"/>
  <c r="B53" i="23" s="1"/>
  <c r="B57" i="23" s="1"/>
  <c r="G46" i="23"/>
  <c r="G45" i="23"/>
  <c r="G44" i="23"/>
  <c r="G43" i="23"/>
  <c r="G42" i="23"/>
  <c r="J42" i="23" s="1"/>
  <c r="G41" i="23"/>
  <c r="G40" i="23"/>
  <c r="G39" i="23"/>
  <c r="B40" i="23"/>
  <c r="B41" i="23" s="1"/>
  <c r="B42" i="23" s="1"/>
  <c r="B43" i="23" s="1"/>
  <c r="B44" i="23" s="1"/>
  <c r="B45" i="23" s="1"/>
  <c r="B46" i="23" s="1"/>
  <c r="F33" i="23"/>
  <c r="G33" i="23" s="1"/>
  <c r="J33" i="23" s="1"/>
  <c r="B33" i="23"/>
  <c r="F32" i="23"/>
  <c r="G32" i="23" s="1"/>
  <c r="H32" i="23" s="1"/>
  <c r="G26" i="23"/>
  <c r="G25" i="23"/>
  <c r="H25" i="23" s="1"/>
  <c r="G24" i="23"/>
  <c r="H24" i="23" s="1"/>
  <c r="I24" i="23" s="1"/>
  <c r="G23" i="23"/>
  <c r="J23" i="23" s="1"/>
  <c r="B23" i="23"/>
  <c r="B24" i="23" s="1"/>
  <c r="G22" i="23"/>
  <c r="H22" i="23" s="1"/>
  <c r="I22" i="23" s="1"/>
  <c r="B16" i="23"/>
  <c r="B17" i="23" s="1"/>
  <c r="G10" i="23"/>
  <c r="J10" i="23" s="1"/>
  <c r="B10" i="23"/>
  <c r="G9" i="23"/>
  <c r="H9" i="23" s="1"/>
  <c r="G8" i="23"/>
  <c r="J8" i="23" s="1"/>
  <c r="G7" i="23"/>
  <c r="G6" i="23"/>
  <c r="H6" i="23" s="1"/>
  <c r="I11" i="23"/>
  <c r="J15" i="23"/>
  <c r="J16" i="23"/>
  <c r="J17" i="23"/>
  <c r="I18" i="23"/>
  <c r="J52" i="23"/>
  <c r="I58" i="23"/>
  <c r="B63" i="23"/>
  <c r="B64" i="23" s="1"/>
  <c r="D5" i="8"/>
  <c r="D6" i="8"/>
  <c r="D7" i="8"/>
  <c r="D8" i="8"/>
  <c r="D9" i="8"/>
  <c r="D10" i="8"/>
  <c r="D11" i="8"/>
  <c r="D12" i="8"/>
  <c r="D13" i="8"/>
  <c r="D14" i="8"/>
  <c r="D15" i="8"/>
  <c r="D16" i="8"/>
  <c r="D17" i="8"/>
  <c r="D4" i="8"/>
  <c r="H33" i="23" l="1"/>
  <c r="H34" i="23" s="1"/>
  <c r="C58" i="3"/>
  <c r="F8" i="4"/>
  <c r="D62" i="4"/>
  <c r="F28" i="4"/>
  <c r="F62" i="4"/>
  <c r="D83" i="4"/>
  <c r="E83" i="4"/>
  <c r="D33" i="3"/>
  <c r="I28" i="23"/>
  <c r="E18" i="3"/>
  <c r="E8" i="4"/>
  <c r="G11" i="3"/>
  <c r="D18" i="3"/>
  <c r="H47" i="23"/>
  <c r="D33" i="4"/>
  <c r="F13" i="4"/>
  <c r="F73" i="4"/>
  <c r="E63" i="4"/>
  <c r="G47" i="23"/>
  <c r="J47" i="23" s="1"/>
  <c r="J62" i="23"/>
  <c r="G65" i="23"/>
  <c r="D18" i="8"/>
  <c r="F18" i="8"/>
  <c r="C98" i="4"/>
  <c r="E62" i="4"/>
  <c r="F63" i="4"/>
  <c r="F33" i="3"/>
  <c r="J57" i="23"/>
  <c r="G28" i="23"/>
  <c r="J43" i="23"/>
  <c r="J46" i="23"/>
  <c r="J44" i="23"/>
  <c r="J40" i="23"/>
  <c r="J24" i="23"/>
  <c r="J45" i="23"/>
  <c r="J41" i="23"/>
  <c r="J25" i="23"/>
  <c r="J26" i="23"/>
  <c r="J53" i="23"/>
  <c r="H58" i="23"/>
  <c r="J6" i="23"/>
  <c r="H28" i="23"/>
  <c r="J7" i="23"/>
  <c r="J9" i="23"/>
  <c r="J63" i="23"/>
  <c r="H10" i="23"/>
  <c r="G58" i="23"/>
  <c r="J58" i="23" s="1"/>
  <c r="G34" i="23"/>
  <c r="J34" i="23" s="1"/>
  <c r="J51" i="23"/>
  <c r="J39" i="23"/>
  <c r="J32" i="23"/>
  <c r="G18" i="23"/>
  <c r="J18" i="23" s="1"/>
  <c r="G11" i="23"/>
  <c r="J11" i="23" s="1"/>
  <c r="I65" i="23"/>
  <c r="J22" i="23"/>
  <c r="J28" i="23" l="1"/>
  <c r="H11" i="23"/>
  <c r="J65" i="23"/>
  <c r="B24" i="2"/>
  <c r="D26" i="4"/>
  <c r="D93" i="4" l="1"/>
  <c r="C97" i="4"/>
  <c r="F88" i="3"/>
  <c r="C98" i="3"/>
  <c r="E23" i="4"/>
  <c r="G85" i="4"/>
  <c r="F52" i="3"/>
  <c r="F57" i="3"/>
  <c r="A127" i="4"/>
  <c r="B127" i="3"/>
  <c r="A127" i="3"/>
  <c r="B81" i="4" l="1"/>
  <c r="B80" i="4"/>
  <c r="D101" i="3"/>
  <c r="D105" i="3" s="1"/>
  <c r="D100" i="3"/>
  <c r="F105" i="3"/>
  <c r="H16" i="1" s="1"/>
  <c r="F104" i="3"/>
  <c r="E93" i="3"/>
  <c r="C93" i="3"/>
  <c r="I16" i="1" l="1"/>
  <c r="D87" i="4"/>
  <c r="D38" i="4"/>
  <c r="F38" i="4"/>
  <c r="F43" i="4"/>
  <c r="D93" i="3"/>
  <c r="E13" i="3"/>
  <c r="F68" i="4"/>
  <c r="F93" i="4"/>
  <c r="F88" i="4"/>
  <c r="C48" i="4"/>
  <c r="E78" i="4"/>
  <c r="E88" i="4"/>
  <c r="D13" i="3"/>
  <c r="F13" i="3"/>
  <c r="E13" i="4"/>
  <c r="E93" i="4"/>
  <c r="D68" i="4"/>
  <c r="D13" i="4"/>
  <c r="D23" i="4"/>
  <c r="E38" i="4"/>
  <c r="E43" i="4"/>
  <c r="F93" i="3"/>
  <c r="E105" i="4"/>
  <c r="H14" i="1" s="1"/>
  <c r="F48" i="3"/>
  <c r="F38" i="3"/>
  <c r="I14" i="1" l="1"/>
  <c r="I108" i="3"/>
  <c r="L22" i="1" l="1"/>
  <c r="A120" i="4"/>
  <c r="A130" i="4"/>
  <c r="A129" i="4"/>
  <c r="A128" i="4"/>
  <c r="A126" i="4"/>
  <c r="A125" i="4"/>
  <c r="A124" i="4"/>
  <c r="A123" i="4"/>
  <c r="A122" i="4"/>
  <c r="A121" i="4"/>
  <c r="A117" i="4"/>
  <c r="A116" i="4"/>
  <c r="A115" i="4"/>
  <c r="A113" i="4"/>
  <c r="A112" i="4"/>
  <c r="A128" i="3"/>
  <c r="A113" i="3"/>
  <c r="A130" i="3"/>
  <c r="A129" i="3"/>
  <c r="A126" i="3"/>
  <c r="A125" i="3"/>
  <c r="A124" i="3"/>
  <c r="A123" i="3"/>
  <c r="A122" i="3"/>
  <c r="A121" i="3"/>
  <c r="A120" i="3"/>
  <c r="A117" i="3"/>
  <c r="A116" i="3"/>
  <c r="A115" i="3"/>
  <c r="A112" i="3"/>
  <c r="O11" i="9" l="1"/>
  <c r="B18" i="10" l="1"/>
  <c r="K9" i="5" l="1"/>
  <c r="H7" i="9" s="1"/>
  <c r="K7" i="5"/>
  <c r="F7" i="9" s="1"/>
  <c r="K6" i="5"/>
  <c r="E7" i="9" s="1"/>
  <c r="K5" i="5"/>
  <c r="D7" i="9" s="1"/>
  <c r="B10" i="5"/>
  <c r="C7" i="9" l="1"/>
  <c r="G7" i="9"/>
  <c r="C21" i="1"/>
  <c r="B9" i="10" s="1"/>
  <c r="B16" i="10" s="1"/>
  <c r="B17" i="10" s="1"/>
  <c r="C20" i="1"/>
  <c r="B8" i="10" s="1"/>
  <c r="B15" i="10" s="1"/>
  <c r="C19" i="1"/>
  <c r="B7" i="10" s="1"/>
  <c r="B14" i="10" s="1"/>
  <c r="H80" i="4"/>
  <c r="H75" i="4"/>
  <c r="H70" i="4"/>
  <c r="H65" i="4"/>
  <c r="H60" i="4"/>
  <c r="H55" i="4"/>
  <c r="H50" i="4"/>
  <c r="H45" i="4"/>
  <c r="H40" i="4"/>
  <c r="H35" i="4"/>
  <c r="H30" i="4"/>
  <c r="H25" i="4"/>
  <c r="H20" i="4"/>
  <c r="H15" i="4"/>
  <c r="H10" i="4"/>
  <c r="H5" i="4"/>
  <c r="L23" i="1" l="1"/>
  <c r="I109" i="3"/>
  <c r="B82" i="4"/>
  <c r="C103" i="4"/>
  <c r="B97" i="3"/>
  <c r="E103" i="3"/>
  <c r="F73" i="3"/>
  <c r="F63" i="3"/>
  <c r="B105" i="3"/>
  <c r="H4" i="1" s="1"/>
  <c r="F62" i="3"/>
  <c r="F78" i="3"/>
  <c r="G100" i="4"/>
  <c r="G101" i="4"/>
  <c r="C102" i="4"/>
  <c r="I4" i="1" l="1"/>
  <c r="G103" i="4"/>
  <c r="B131" i="4" s="1"/>
  <c r="G102" i="4"/>
  <c r="K3" i="14" l="1"/>
  <c r="D48" i="13" l="1"/>
  <c r="E47" i="13"/>
  <c r="E46" i="13"/>
  <c r="E45" i="13"/>
  <c r="E44" i="13"/>
  <c r="E43" i="13"/>
  <c r="E42" i="13"/>
  <c r="E41" i="13"/>
  <c r="E40" i="13"/>
  <c r="H40" i="13" s="1"/>
  <c r="E39" i="13"/>
  <c r="H39" i="13" s="1"/>
  <c r="E38" i="13"/>
  <c r="H38" i="13" s="1"/>
  <c r="E37" i="13"/>
  <c r="H37" i="13" s="1"/>
  <c r="E36" i="13"/>
  <c r="H36" i="13" s="1"/>
  <c r="E35" i="13"/>
  <c r="H35" i="13" s="1"/>
  <c r="E34" i="13"/>
  <c r="H34" i="13" s="1"/>
  <c r="E33" i="13"/>
  <c r="H33" i="13" s="1"/>
  <c r="E32" i="13"/>
  <c r="H32" i="13" s="1"/>
  <c r="E31" i="13"/>
  <c r="H31" i="13" s="1"/>
  <c r="E30" i="13"/>
  <c r="E29" i="13"/>
  <c r="H29" i="13" s="1"/>
  <c r="E28" i="13"/>
  <c r="H28" i="13" s="1"/>
  <c r="E27" i="13"/>
  <c r="H27" i="13" s="1"/>
  <c r="E26" i="13"/>
  <c r="H26" i="13" s="1"/>
  <c r="E25" i="13"/>
  <c r="H25" i="13" s="1"/>
  <c r="E22" i="13"/>
  <c r="H22" i="13" s="1"/>
  <c r="E21" i="13"/>
  <c r="H21" i="13" s="1"/>
  <c r="E20" i="13"/>
  <c r="H20" i="13" s="1"/>
  <c r="E19" i="13"/>
  <c r="H19" i="13" s="1"/>
  <c r="E18" i="13"/>
  <c r="H18" i="13" s="1"/>
  <c r="E17" i="13"/>
  <c r="H17" i="13" s="1"/>
  <c r="E16" i="13"/>
  <c r="H16" i="13" s="1"/>
  <c r="C16" i="13"/>
  <c r="C17" i="13" s="1"/>
  <c r="C18" i="13" s="1"/>
  <c r="C19" i="13" s="1"/>
  <c r="C20" i="13" s="1"/>
  <c r="C21" i="13" s="1"/>
  <c r="C22"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E15" i="13"/>
  <c r="H15" i="13" s="1"/>
  <c r="E14" i="13"/>
  <c r="H30" i="13" l="1"/>
  <c r="H48" i="13" s="1"/>
  <c r="E48" i="13"/>
  <c r="F14" i="13"/>
  <c r="F15" i="13" s="1"/>
  <c r="F16" i="13" s="1"/>
  <c r="F17" i="13" s="1"/>
  <c r="F18" i="13" s="1"/>
  <c r="F19" i="13" s="1"/>
  <c r="F20" i="13" s="1"/>
  <c r="F21" i="13" s="1"/>
  <c r="F22" i="13" s="1"/>
  <c r="F25" i="13" s="1"/>
  <c r="F26" i="13" s="1"/>
  <c r="F27" i="13" s="1"/>
  <c r="F28" i="13" s="1"/>
  <c r="F29" i="13" s="1"/>
  <c r="L30" i="13" l="1"/>
  <c r="F30" i="13"/>
  <c r="F31" i="13" s="1"/>
  <c r="F32" i="13" s="1"/>
  <c r="F33" i="13" s="1"/>
  <c r="F34" i="13" s="1"/>
  <c r="F35" i="13" s="1"/>
  <c r="F36" i="13" s="1"/>
  <c r="F37" i="13" s="1"/>
  <c r="F38" i="13" s="1"/>
  <c r="F39" i="13" s="1"/>
  <c r="F40" i="13" s="1"/>
  <c r="F41" i="13" s="1"/>
  <c r="F42" i="13" s="1"/>
  <c r="F43" i="13" s="1"/>
  <c r="F44" i="13" s="1"/>
  <c r="F45" i="13" s="1"/>
  <c r="F46" i="13" s="1"/>
  <c r="F47" i="13" s="1"/>
  <c r="J3" i="11"/>
  <c r="J2" i="11"/>
  <c r="C2" i="14"/>
  <c r="F43" i="3" l="1"/>
  <c r="E23" i="3" l="1"/>
  <c r="E28" i="3"/>
  <c r="F23" i="3"/>
  <c r="F28" i="3"/>
  <c r="F97" i="3"/>
  <c r="F104" i="4"/>
  <c r="E104" i="4"/>
  <c r="F105" i="4"/>
  <c r="H17" i="1" s="1"/>
  <c r="C97" i="3"/>
  <c r="I17" i="1" l="1"/>
  <c r="H18" i="1"/>
  <c r="I18" i="1" s="1"/>
  <c r="D28" i="3"/>
  <c r="D104" i="4"/>
  <c r="D105" i="4"/>
  <c r="H11" i="1" s="1"/>
  <c r="C104" i="4"/>
  <c r="C105" i="4"/>
  <c r="H8" i="1" s="1"/>
  <c r="F8" i="3"/>
  <c r="D23" i="3"/>
  <c r="G20" i="3"/>
  <c r="G15" i="3"/>
  <c r="I11" i="1" l="1"/>
  <c r="I8" i="1"/>
  <c r="D8" i="1"/>
  <c r="D11" i="1"/>
  <c r="D14" i="1"/>
  <c r="D17" i="1"/>
  <c r="B105" i="4"/>
  <c r="H5" i="1" s="1"/>
  <c r="B104" i="4"/>
  <c r="G96" i="4"/>
  <c r="G95" i="4"/>
  <c r="F97" i="4"/>
  <c r="G91" i="4"/>
  <c r="G90" i="4"/>
  <c r="D92" i="4"/>
  <c r="E92" i="4"/>
  <c r="F92" i="4"/>
  <c r="C93" i="4"/>
  <c r="C92" i="4"/>
  <c r="G86" i="4"/>
  <c r="E87" i="4"/>
  <c r="F87" i="4"/>
  <c r="C88" i="4"/>
  <c r="C87" i="4"/>
  <c r="G81" i="4"/>
  <c r="G19" i="2" s="1"/>
  <c r="G80" i="4"/>
  <c r="D82" i="4"/>
  <c r="E82" i="4"/>
  <c r="F82" i="4"/>
  <c r="C83" i="4"/>
  <c r="C82" i="4"/>
  <c r="G76" i="4"/>
  <c r="G75" i="4"/>
  <c r="D77" i="4"/>
  <c r="E77" i="4"/>
  <c r="F77" i="4"/>
  <c r="C78" i="4"/>
  <c r="C77" i="4"/>
  <c r="G71" i="4"/>
  <c r="G70" i="4"/>
  <c r="D72" i="4"/>
  <c r="E72" i="4"/>
  <c r="F72" i="4"/>
  <c r="C73" i="4"/>
  <c r="C72" i="4"/>
  <c r="G66" i="4"/>
  <c r="G65" i="4"/>
  <c r="D67" i="4"/>
  <c r="E67" i="4"/>
  <c r="F67" i="4"/>
  <c r="C68" i="4"/>
  <c r="C67" i="4"/>
  <c r="G61" i="4"/>
  <c r="G60" i="4"/>
  <c r="C63" i="4"/>
  <c r="C62" i="4"/>
  <c r="G56" i="4"/>
  <c r="G55" i="4"/>
  <c r="D57" i="4"/>
  <c r="E57" i="4"/>
  <c r="F57" i="4"/>
  <c r="C58" i="4"/>
  <c r="C57" i="4"/>
  <c r="D52" i="4"/>
  <c r="E52" i="4"/>
  <c r="F52" i="4"/>
  <c r="C53" i="4"/>
  <c r="C52" i="4"/>
  <c r="G51" i="4"/>
  <c r="G50" i="4"/>
  <c r="G46" i="4"/>
  <c r="G45" i="4"/>
  <c r="D47" i="4"/>
  <c r="E47" i="4"/>
  <c r="F47" i="4"/>
  <c r="C47" i="4"/>
  <c r="G41" i="4"/>
  <c r="G40" i="4"/>
  <c r="D42" i="4"/>
  <c r="E42" i="4"/>
  <c r="F42" i="4"/>
  <c r="C43" i="4"/>
  <c r="C42" i="4"/>
  <c r="G36" i="4"/>
  <c r="G35" i="4"/>
  <c r="D37" i="4"/>
  <c r="E37" i="4"/>
  <c r="F37" i="4"/>
  <c r="C38" i="4"/>
  <c r="C37" i="4"/>
  <c r="G31" i="4"/>
  <c r="G30" i="4"/>
  <c r="D32" i="4"/>
  <c r="E32" i="4"/>
  <c r="F32" i="4"/>
  <c r="C33" i="4"/>
  <c r="C32" i="4"/>
  <c r="D27" i="4"/>
  <c r="E27" i="4"/>
  <c r="F27" i="4"/>
  <c r="C28" i="4"/>
  <c r="C27" i="4"/>
  <c r="G26" i="4"/>
  <c r="G25" i="4"/>
  <c r="D22" i="4"/>
  <c r="E22" i="4"/>
  <c r="F22" i="4"/>
  <c r="C23" i="4"/>
  <c r="C22" i="4"/>
  <c r="G21" i="4"/>
  <c r="G20" i="4"/>
  <c r="C7" i="2" s="1"/>
  <c r="G16" i="4"/>
  <c r="G15" i="4"/>
  <c r="D17" i="4"/>
  <c r="E17" i="4"/>
  <c r="F17" i="4"/>
  <c r="D18" i="4"/>
  <c r="F18" i="4"/>
  <c r="C18" i="4"/>
  <c r="C17" i="4"/>
  <c r="G11" i="4"/>
  <c r="G5" i="2" s="1"/>
  <c r="G10" i="4"/>
  <c r="D12" i="4"/>
  <c r="E12" i="4"/>
  <c r="F12" i="4"/>
  <c r="C13" i="4"/>
  <c r="C12" i="4"/>
  <c r="G6" i="4"/>
  <c r="G5" i="4"/>
  <c r="D7" i="4"/>
  <c r="E7" i="4"/>
  <c r="F7" i="4"/>
  <c r="C8" i="4"/>
  <c r="C7" i="4"/>
  <c r="B104" i="3"/>
  <c r="D4" i="1" s="1"/>
  <c r="D92" i="3"/>
  <c r="E92" i="3"/>
  <c r="F92" i="3"/>
  <c r="B93" i="3"/>
  <c r="B92" i="3"/>
  <c r="B106" i="3" s="1"/>
  <c r="D87" i="3"/>
  <c r="E87" i="3"/>
  <c r="F87" i="3"/>
  <c r="C88" i="3"/>
  <c r="C87" i="3"/>
  <c r="D77" i="3"/>
  <c r="E77" i="3"/>
  <c r="F77" i="3"/>
  <c r="C78" i="3"/>
  <c r="C77" i="3"/>
  <c r="D72" i="3"/>
  <c r="E72" i="3"/>
  <c r="F72" i="3"/>
  <c r="C72" i="3"/>
  <c r="D67" i="3"/>
  <c r="E67" i="3"/>
  <c r="F67" i="3"/>
  <c r="C68" i="3"/>
  <c r="C67" i="3"/>
  <c r="C62" i="3"/>
  <c r="G55" i="3"/>
  <c r="C14" i="2" s="1"/>
  <c r="G56" i="3"/>
  <c r="C57" i="3"/>
  <c r="G57" i="3" s="1"/>
  <c r="E47" i="3"/>
  <c r="F47" i="3"/>
  <c r="D47" i="3"/>
  <c r="C48" i="3"/>
  <c r="C47" i="3"/>
  <c r="D42" i="3"/>
  <c r="E42" i="3"/>
  <c r="F42" i="3"/>
  <c r="C42" i="3"/>
  <c r="D32" i="3"/>
  <c r="E32" i="3"/>
  <c r="F32" i="3"/>
  <c r="C33" i="3"/>
  <c r="C32" i="3"/>
  <c r="D27" i="3"/>
  <c r="E27" i="3"/>
  <c r="F27" i="3"/>
  <c r="C28" i="3"/>
  <c r="C27" i="3"/>
  <c r="D22" i="3"/>
  <c r="E22" i="3"/>
  <c r="F22" i="3"/>
  <c r="C23" i="3"/>
  <c r="C22" i="3"/>
  <c r="D17" i="3"/>
  <c r="E17" i="3"/>
  <c r="F17" i="3"/>
  <c r="C18" i="3"/>
  <c r="C17" i="3"/>
  <c r="D12" i="3"/>
  <c r="E12" i="3"/>
  <c r="F12" i="3"/>
  <c r="C13" i="3"/>
  <c r="C12" i="3"/>
  <c r="C8" i="3"/>
  <c r="D7" i="3"/>
  <c r="E7" i="3"/>
  <c r="F7" i="3"/>
  <c r="C7" i="3"/>
  <c r="G14" i="2" l="1"/>
  <c r="C6" i="2"/>
  <c r="G104" i="4"/>
  <c r="H5" i="2"/>
  <c r="H19" i="2"/>
  <c r="H14" i="2"/>
  <c r="I14" i="2" s="1"/>
  <c r="H6" i="1"/>
  <c r="I5" i="1"/>
  <c r="G68" i="4"/>
  <c r="B124" i="4" s="1"/>
  <c r="G63" i="4"/>
  <c r="B123" i="4" s="1"/>
  <c r="G78" i="4"/>
  <c r="B126" i="4" s="1"/>
  <c r="G93" i="4"/>
  <c r="B129" i="4" s="1"/>
  <c r="G83" i="4"/>
  <c r="B127" i="4" s="1"/>
  <c r="G48" i="4"/>
  <c r="B120" i="4" s="1"/>
  <c r="G73" i="4"/>
  <c r="B125" i="4" s="1"/>
  <c r="G88" i="4"/>
  <c r="B128" i="4" s="1"/>
  <c r="H105" i="4"/>
  <c r="D5" i="1"/>
  <c r="D20" i="1" s="1"/>
  <c r="H104" i="4"/>
  <c r="G58" i="4"/>
  <c r="B122" i="4" s="1"/>
  <c r="G58" i="3"/>
  <c r="B122" i="3" s="1"/>
  <c r="G105" i="4"/>
  <c r="B106" i="4"/>
  <c r="G13" i="4"/>
  <c r="B113" i="4" s="1"/>
  <c r="G67" i="4"/>
  <c r="G38" i="4"/>
  <c r="B118" i="4" s="1"/>
  <c r="G97" i="4"/>
  <c r="G98" i="4"/>
  <c r="B130" i="4" s="1"/>
  <c r="G92" i="4"/>
  <c r="G87" i="4"/>
  <c r="G82" i="4"/>
  <c r="G77" i="4"/>
  <c r="G72" i="4"/>
  <c r="G62" i="4"/>
  <c r="G53" i="4"/>
  <c r="B121" i="4" s="1"/>
  <c r="G52" i="4"/>
  <c r="G47" i="4"/>
  <c r="G42" i="4"/>
  <c r="G43" i="4"/>
  <c r="B119" i="4" s="1"/>
  <c r="G37" i="4"/>
  <c r="G33" i="4"/>
  <c r="B117" i="4" s="1"/>
  <c r="G32" i="4"/>
  <c r="G27" i="4"/>
  <c r="G28" i="4"/>
  <c r="G23" i="4"/>
  <c r="B115" i="4" s="1"/>
  <c r="G22" i="4"/>
  <c r="G17" i="4"/>
  <c r="G18" i="4"/>
  <c r="B114" i="4" s="1"/>
  <c r="G12" i="4"/>
  <c r="C106" i="4"/>
  <c r="G7" i="4"/>
  <c r="C107" i="4"/>
  <c r="E107" i="4"/>
  <c r="E106" i="4"/>
  <c r="F107" i="4"/>
  <c r="F106" i="4"/>
  <c r="D107" i="4"/>
  <c r="D106" i="4"/>
  <c r="B107" i="3"/>
  <c r="G57" i="4"/>
  <c r="G8" i="4"/>
  <c r="B112" i="4" s="1"/>
  <c r="G6" i="3"/>
  <c r="G4" i="2" s="1"/>
  <c r="G7" i="3"/>
  <c r="G10" i="3"/>
  <c r="C5" i="2" s="1"/>
  <c r="G16" i="3"/>
  <c r="G6" i="2" s="1"/>
  <c r="G21" i="3"/>
  <c r="G7" i="2" s="1"/>
  <c r="G25" i="3"/>
  <c r="C8" i="2" s="1"/>
  <c r="G26" i="3"/>
  <c r="G8" i="2" s="1"/>
  <c r="G30" i="3"/>
  <c r="G31" i="3"/>
  <c r="G9" i="2" s="1"/>
  <c r="G40" i="3"/>
  <c r="C11" i="2" s="1"/>
  <c r="G41" i="3"/>
  <c r="G11" i="2" s="1"/>
  <c r="G45" i="3"/>
  <c r="C12" i="2" s="1"/>
  <c r="G46" i="3"/>
  <c r="G12" i="2" s="1"/>
  <c r="G50" i="3"/>
  <c r="C13" i="2" s="1"/>
  <c r="G51" i="3"/>
  <c r="G13" i="2" s="1"/>
  <c r="G52" i="3"/>
  <c r="G53" i="3"/>
  <c r="B121" i="3" s="1"/>
  <c r="G60" i="3"/>
  <c r="C15" i="2" s="1"/>
  <c r="G61" i="3"/>
  <c r="G15" i="2" s="1"/>
  <c r="G62" i="3"/>
  <c r="G65" i="3"/>
  <c r="C16" i="2" s="1"/>
  <c r="G66" i="3"/>
  <c r="G16" i="2" s="1"/>
  <c r="G67" i="3"/>
  <c r="G70" i="3"/>
  <c r="C17" i="2" s="1"/>
  <c r="G71" i="3"/>
  <c r="G17" i="2" s="1"/>
  <c r="G75" i="3"/>
  <c r="G76" i="3"/>
  <c r="G18" i="2" s="1"/>
  <c r="G80" i="3"/>
  <c r="C19" i="2" s="1"/>
  <c r="G82" i="3"/>
  <c r="G85" i="3"/>
  <c r="C20" i="2" s="1"/>
  <c r="G86" i="3"/>
  <c r="G20" i="2" s="1"/>
  <c r="G91" i="3"/>
  <c r="G95" i="3"/>
  <c r="C22" i="2" s="1"/>
  <c r="G96" i="3"/>
  <c r="G22" i="2" s="1"/>
  <c r="G5" i="3"/>
  <c r="C4" i="2" s="1"/>
  <c r="G21" i="2" l="1"/>
  <c r="H21" i="2" s="1"/>
  <c r="I19" i="2"/>
  <c r="I5" i="2"/>
  <c r="H20" i="2"/>
  <c r="I20" i="2" s="1"/>
  <c r="H13" i="2"/>
  <c r="I13" i="2" s="1"/>
  <c r="H8" i="2"/>
  <c r="I8" i="2" s="1"/>
  <c r="H22" i="2"/>
  <c r="H16" i="2"/>
  <c r="I16" i="2" s="1"/>
  <c r="H18" i="2"/>
  <c r="H15" i="2"/>
  <c r="I15" i="2" s="1"/>
  <c r="H11" i="2"/>
  <c r="I11" i="2" s="1"/>
  <c r="H17" i="2"/>
  <c r="I17" i="2" s="1"/>
  <c r="H12" i="2"/>
  <c r="I12" i="2" s="1"/>
  <c r="H9" i="2"/>
  <c r="H7" i="2"/>
  <c r="I7" i="2" s="1"/>
  <c r="H4" i="2"/>
  <c r="I4" i="2" s="1"/>
  <c r="C18" i="2"/>
  <c r="H6" i="2"/>
  <c r="I6" i="2" s="1"/>
  <c r="C9" i="2"/>
  <c r="G33" i="3"/>
  <c r="B117" i="3" s="1"/>
  <c r="G18" i="3"/>
  <c r="B114" i="3" s="1"/>
  <c r="B116" i="4"/>
  <c r="G43" i="3"/>
  <c r="B119" i="3" s="1"/>
  <c r="H106" i="4"/>
  <c r="G78" i="3"/>
  <c r="B126" i="3" s="1"/>
  <c r="G28" i="3"/>
  <c r="G23" i="3"/>
  <c r="B115" i="3" s="1"/>
  <c r="C8" i="10"/>
  <c r="C15" i="10"/>
  <c r="G97" i="3"/>
  <c r="G98" i="3"/>
  <c r="B130" i="3" s="1"/>
  <c r="G106" i="4"/>
  <c r="G107" i="4"/>
  <c r="G87" i="3"/>
  <c r="G77" i="3"/>
  <c r="G72" i="3"/>
  <c r="G68" i="3"/>
  <c r="B124" i="3" s="1"/>
  <c r="G63" i="3"/>
  <c r="B123" i="3" s="1"/>
  <c r="G42" i="3"/>
  <c r="G22" i="3"/>
  <c r="G17" i="3"/>
  <c r="G12" i="3"/>
  <c r="G13" i="3"/>
  <c r="B113" i="3" s="1"/>
  <c r="G8" i="3"/>
  <c r="B112" i="3" s="1"/>
  <c r="G88" i="3"/>
  <c r="B128" i="3" s="1"/>
  <c r="G73" i="3"/>
  <c r="B125" i="3" s="1"/>
  <c r="G47" i="3"/>
  <c r="G48" i="3"/>
  <c r="B120" i="3" s="1"/>
  <c r="G32" i="3"/>
  <c r="G27" i="3"/>
  <c r="F15" i="10" l="1"/>
  <c r="H15" i="10"/>
  <c r="E36" i="10" s="1"/>
  <c r="I18" i="2"/>
  <c r="I22" i="2"/>
  <c r="I9" i="2"/>
  <c r="B116" i="3"/>
  <c r="D36" i="10" l="1"/>
  <c r="B3" i="11"/>
  <c r="G90" i="3"/>
  <c r="C92" i="3"/>
  <c r="C21" i="2" l="1"/>
  <c r="G93" i="3"/>
  <c r="B129" i="3" s="1"/>
  <c r="G92" i="3"/>
  <c r="I21" i="2" l="1"/>
  <c r="C104" i="3"/>
  <c r="D7" i="1" s="1"/>
  <c r="C105" i="3"/>
  <c r="H7" i="1" l="1"/>
  <c r="I7" i="1" s="1"/>
  <c r="F37" i="3"/>
  <c r="F106" i="3" s="1"/>
  <c r="E37" i="3"/>
  <c r="E105" i="3"/>
  <c r="H13" i="1" s="1"/>
  <c r="D38" i="3"/>
  <c r="H10" i="1"/>
  <c r="D37" i="3"/>
  <c r="D106" i="3" s="1"/>
  <c r="E104" i="3"/>
  <c r="D13" i="1" s="1"/>
  <c r="D15" i="1" s="1"/>
  <c r="F102" i="3"/>
  <c r="D16" i="1"/>
  <c r="D18" i="1" s="1"/>
  <c r="D102" i="3"/>
  <c r="G35" i="3"/>
  <c r="E102" i="3"/>
  <c r="G36" i="3"/>
  <c r="G10" i="2" s="1"/>
  <c r="C102" i="3"/>
  <c r="G101" i="3"/>
  <c r="G23" i="2" s="1"/>
  <c r="B102" i="3"/>
  <c r="C107" i="3"/>
  <c r="D9" i="1"/>
  <c r="D104" i="3"/>
  <c r="D10" i="1" s="1"/>
  <c r="D12" i="1" s="1"/>
  <c r="C37" i="3"/>
  <c r="C38" i="3"/>
  <c r="H9" i="1" l="1"/>
  <c r="I9" i="1" s="1"/>
  <c r="H19" i="1"/>
  <c r="G24" i="2"/>
  <c r="C10" i="2"/>
  <c r="G105" i="3"/>
  <c r="I10" i="1"/>
  <c r="H12" i="1"/>
  <c r="I12" i="1" s="1"/>
  <c r="I13" i="1"/>
  <c r="H15" i="1"/>
  <c r="I15" i="1" s="1"/>
  <c r="E106" i="3"/>
  <c r="D21" i="1"/>
  <c r="G38" i="3"/>
  <c r="B118" i="3" s="1"/>
  <c r="D19" i="1"/>
  <c r="G100" i="3"/>
  <c r="C23" i="2" s="1"/>
  <c r="E107" i="3"/>
  <c r="F107" i="3"/>
  <c r="C18" i="10"/>
  <c r="G37" i="3"/>
  <c r="C106" i="3"/>
  <c r="D107" i="3"/>
  <c r="I19" i="1" l="1"/>
  <c r="F18" i="10"/>
  <c r="H18" i="10"/>
  <c r="H23" i="2"/>
  <c r="I23" i="2" s="1"/>
  <c r="G104" i="3"/>
  <c r="G107" i="3" s="1"/>
  <c r="H10" i="2"/>
  <c r="C24" i="2"/>
  <c r="G103" i="3"/>
  <c r="B131" i="3" s="1"/>
  <c r="C7" i="10"/>
  <c r="C9" i="10" s="1"/>
  <c r="C14" i="10"/>
  <c r="G102" i="3"/>
  <c r="G106" i="3" s="1"/>
  <c r="H7" i="10" l="1"/>
  <c r="H24" i="2"/>
  <c r="I24" i="2" s="1"/>
  <c r="C16" i="10"/>
  <c r="D18" i="10" s="1"/>
  <c r="F14" i="10"/>
  <c r="H14" i="10"/>
  <c r="E35" i="10" s="1"/>
  <c r="I10" i="2"/>
  <c r="D14" i="10"/>
  <c r="D15" i="10"/>
  <c r="D8" i="10"/>
  <c r="D7" i="10"/>
  <c r="M8" i="10"/>
  <c r="I7" i="10" l="1"/>
  <c r="K14" i="10" s="1"/>
  <c r="L14" i="10" s="1"/>
  <c r="B4" i="11"/>
  <c r="B2" i="11"/>
  <c r="D35" i="10"/>
  <c r="C17" i="10"/>
  <c r="F16" i="10"/>
  <c r="D37" i="10" s="1"/>
  <c r="H16" i="10"/>
  <c r="E37" i="10" s="1"/>
  <c r="M9" i="10"/>
  <c r="M7" i="10"/>
  <c r="D17" i="10" l="1"/>
  <c r="H17" i="10"/>
  <c r="F17" i="10"/>
  <c r="J4" i="1"/>
  <c r="I6" i="1"/>
  <c r="B2" i="14" l="1"/>
  <c r="K2" i="14"/>
  <c r="J6" i="1"/>
  <c r="D2" i="14" l="1"/>
  <c r="K4" i="14"/>
  <c r="J7" i="1"/>
  <c r="K5" i="14" l="1"/>
  <c r="B3" i="14"/>
  <c r="J9" i="1" l="1"/>
  <c r="J8" i="1"/>
  <c r="C3" i="14" l="1"/>
  <c r="K6" i="14"/>
  <c r="D3" i="14"/>
  <c r="K7" i="14"/>
  <c r="J10" i="1"/>
  <c r="K8" i="14" s="1"/>
  <c r="B4" i="14" l="1"/>
  <c r="J11" i="1"/>
  <c r="J12" i="1" l="1"/>
  <c r="D4" i="14" s="1"/>
  <c r="K18" i="10"/>
  <c r="L18" i="10" s="1"/>
  <c r="K9" i="14"/>
  <c r="C4" i="14"/>
  <c r="J13" i="1"/>
  <c r="K11" i="14" s="1"/>
  <c r="K10" i="14" l="1"/>
  <c r="B5" i="14"/>
  <c r="J14" i="1"/>
  <c r="K12" i="14" l="1"/>
  <c r="C5" i="14"/>
  <c r="J15" i="1"/>
  <c r="K13" i="14" l="1"/>
  <c r="D5" i="14"/>
  <c r="J16" i="1"/>
  <c r="G35" i="10" l="1"/>
  <c r="J7" i="10"/>
  <c r="K14" i="14"/>
  <c r="B6" i="14"/>
  <c r="J17" i="1"/>
  <c r="H20" i="1"/>
  <c r="C2" i="11" l="1"/>
  <c r="I20" i="1"/>
  <c r="J18" i="1"/>
  <c r="D6" i="14" s="1"/>
  <c r="I21" i="1"/>
  <c r="J21" i="1" s="1"/>
  <c r="D7" i="14" s="1"/>
  <c r="N7" i="10"/>
  <c r="J19" i="1"/>
  <c r="H21" i="1"/>
  <c r="C6" i="14"/>
  <c r="K15" i="14"/>
  <c r="H8" i="10" l="1"/>
  <c r="H9" i="10" s="1"/>
  <c r="N8" i="10"/>
  <c r="K19" i="14"/>
  <c r="J20" i="1"/>
  <c r="C7" i="14" s="1"/>
  <c r="K16" i="14"/>
  <c r="K17" i="14"/>
  <c r="B7" i="14"/>
  <c r="I8" i="10" l="1"/>
  <c r="K18" i="14"/>
  <c r="I9" i="10" l="1"/>
  <c r="J8" i="10"/>
  <c r="K15" i="10"/>
  <c r="L15" i="10" s="1"/>
  <c r="J9" i="10" l="1"/>
  <c r="K16" i="10"/>
  <c r="K17" i="10" s="1"/>
  <c r="G36" i="10"/>
  <c r="C3" i="11"/>
  <c r="L16" i="10" l="1"/>
  <c r="L17" i="10"/>
  <c r="G37" i="10" l="1"/>
  <c r="C4" i="11"/>
</calcChain>
</file>

<file path=xl/sharedStrings.xml><?xml version="1.0" encoding="utf-8"?>
<sst xmlns="http://schemas.openxmlformats.org/spreadsheetml/2006/main" count="5361" uniqueCount="555">
  <si>
    <t>2.ผลการเบิกจ่ายงบประมาณ จำแนกตามหมวดรายจ่าย แหล่งงบประมาณ และไตรมาส มหาวิทยาลัยราชภัฏลำปาง</t>
  </si>
  <si>
    <t>หมวดรายจ่าย/แหล่งเงิน</t>
  </si>
  <si>
    <t>งบประมาณจัดสรร</t>
  </si>
  <si>
    <t>ผลการเบิกจ่ายงบประมาณ</t>
  </si>
  <si>
    <t>รวม</t>
  </si>
  <si>
    <t>ร้อยละ</t>
  </si>
  <si>
    <t>ไตรมาส 1</t>
  </si>
  <si>
    <t>ไตรมาส 2</t>
  </si>
  <si>
    <t>ไตรมาส 3</t>
  </si>
  <si>
    <t>ไตรมาส 4</t>
  </si>
  <si>
    <t>งบบุคลากร</t>
  </si>
  <si>
    <t>เงินแผ่นดิน</t>
  </si>
  <si>
    <t>เงินรายได้</t>
  </si>
  <si>
    <t>งบดำเนินงาน</t>
  </si>
  <si>
    <t>งบลงทุน</t>
  </si>
  <si>
    <t>งบอุดหนุน</t>
  </si>
  <si>
    <t>งบรายจ่ายอื่น</t>
  </si>
  <si>
    <t>3.ผลการเบิกจ่ายงบประมาณ จำแนกตามหน่วยงานและไตรมาส</t>
  </si>
  <si>
    <t>หน่วยงาน</t>
  </si>
  <si>
    <t>1.คณะครุศาสตร์</t>
  </si>
  <si>
    <t>2.คณะวิทยาศาสตร์</t>
  </si>
  <si>
    <t>3.คณะมนุษยศาสตร์และสังคมศาสตร์</t>
  </si>
  <si>
    <t>4.คณะวิทยาการจัดการ</t>
  </si>
  <si>
    <t>5.คณะเทคโนโลยีอุตสาหกรรม</t>
  </si>
  <si>
    <t>6.คณะเทคโนโลยีการเกษตร</t>
  </si>
  <si>
    <t>7.สำนักวิทยบริการและเทคโนโลยีสารสนเทศ</t>
  </si>
  <si>
    <t>8.สถาบันวิจัยและพัฒนา</t>
  </si>
  <si>
    <t>9.สำนักศิลปะและวัฒนธรรม</t>
  </si>
  <si>
    <t>10.หน่วยตรวจสอบภายใน</t>
  </si>
  <si>
    <t>11.สำนักสภาคณาจารย์และข้าราชการ</t>
  </si>
  <si>
    <t>12.โครงการจัดตั้งสถาบันภาษา</t>
  </si>
  <si>
    <t>13.กองกลาง</t>
  </si>
  <si>
    <t>14.กองนโยบายและแผน</t>
  </si>
  <si>
    <t>15.กองบริการการศึกษา</t>
  </si>
  <si>
    <t>16.สำนักงานประสานงานบัณฑิตศึกษา</t>
  </si>
  <si>
    <t>17.กองพัฒนานักศึกษา</t>
  </si>
  <si>
    <t xml:space="preserve">4.ผลการเบิกจ่ายงบประมาณแผ่นดิน จำแนกตามหน่วยงานและหมวดรายจ่าย </t>
  </si>
  <si>
    <t>หมวดรายจ่าย</t>
  </si>
  <si>
    <t>รวมทั้งสิ้น</t>
  </si>
  <si>
    <t xml:space="preserve">1.คณะครุศาสตร์ </t>
  </si>
  <si>
    <t>  - งบประมาณที่ได้รับอนุมัติ</t>
  </si>
  <si>
    <t>  - งบประมาณที่เบิกจ่าย</t>
  </si>
  <si>
    <t>  - งบประมาณคงเหลือ</t>
  </si>
  <si>
    <t>  - งบประมาณที่ใช้ไปคิดเป็น(%)</t>
  </si>
  <si>
    <t xml:space="preserve">2.คณะวิทยาศาสตร์ </t>
  </si>
  <si>
    <t xml:space="preserve">3.คณะมนุษยศาสตร์และสังคมศาสตร์ </t>
  </si>
  <si>
    <t xml:space="preserve">4.คณะวิทยาการจัดการ </t>
  </si>
  <si>
    <t xml:space="preserve">5.คณะเทคโนโลยีอุตสาหกรรม </t>
  </si>
  <si>
    <t xml:space="preserve">6.คณะเทคโนโลยีการเกษตร </t>
  </si>
  <si>
    <t xml:space="preserve">7.สำนักวิทยบริการและเทคโนโลยีสารสนเทศ </t>
  </si>
  <si>
    <t xml:space="preserve">8.สถาบันวิจัยและพัฒนา </t>
  </si>
  <si>
    <t xml:space="preserve">9.สำนักศิลปะและวัฒนธรรม </t>
  </si>
  <si>
    <t xml:space="preserve">10.หน่วยตรวจสอบภายใน </t>
  </si>
  <si>
    <t xml:space="preserve">11.สำนักสภาคณาจารย์และข้าราชการ </t>
  </si>
  <si>
    <t xml:space="preserve">12.โครงการจัดตั้งสถาบันภาษา </t>
  </si>
  <si>
    <t xml:space="preserve">13.กองกลาง </t>
  </si>
  <si>
    <t xml:space="preserve">14.กองนโยบายและแผน </t>
  </si>
  <si>
    <t xml:space="preserve">15.กองบริการการศึกษา </t>
  </si>
  <si>
    <t xml:space="preserve">16.สำนักงานประสานงานบัณฑิตศึกษา </t>
  </si>
  <si>
    <t xml:space="preserve">17.กองพัฒนานักศึกษา </t>
  </si>
  <si>
    <t>  - รวมงบประมาณที่ได้รับอนุมัติ</t>
  </si>
  <si>
    <t>  - รวมงบประมาณที่เบิกจ่าย</t>
  </si>
  <si>
    <t>  - รวมงบประมาณคงเหลือ</t>
  </si>
  <si>
    <t>  - รวมงบประมาณที่ใช้ไปคิดเป็น(%)</t>
  </si>
  <si>
    <t xml:space="preserve">5.ผลการเบิกจ่ายงบประมาณเงินรายได้ จำแนกตามหน่วยงานและหมวดรายจ่าย </t>
  </si>
  <si>
    <t>ประเด็นกลยุทธ์</t>
  </si>
  <si>
    <t>รวมทุกประเด็นกลยุทธ์</t>
  </si>
  <si>
    <t>งบประมาณหลังโอนเปลี่ยนแปลง/เพิ่มเติม</t>
  </si>
  <si>
    <t>สารบัญ</t>
  </si>
  <si>
    <t>เรื่อง</t>
  </si>
  <si>
    <t>หน้า</t>
  </si>
  <si>
    <t>มหาวิทยาลัยราชภัฏลำปาง</t>
  </si>
  <si>
    <t>กองนโยบายและแผน สำนักงานอธิการบดี</t>
  </si>
  <si>
    <t>ประเด็นกลยุทธ์ที่ 1</t>
  </si>
  <si>
    <t>ประเด็นกลยุทธ์ที่ 3</t>
  </si>
  <si>
    <t>แผ่นดิน</t>
  </si>
  <si>
    <t>รายได้</t>
  </si>
  <si>
    <t>ประเด็นกลยุทธ์ที่ 2</t>
  </si>
  <si>
    <t>ประเด็นกลยุทธ์ที่ 4</t>
  </si>
  <si>
    <t>ประเด็นกลยุทธ์ที่ 5</t>
  </si>
  <si>
    <t xml:space="preserve"> </t>
  </si>
  <si>
    <t>คำชี้แจงเพิ่มเติม</t>
  </si>
  <si>
    <t>สรุปภาพรวม</t>
  </si>
  <si>
    <t>เป้าหมาย</t>
  </si>
  <si>
    <t>ประเด็นกลยุทธ์ที่ 6</t>
  </si>
  <si>
    <t xml:space="preserve">เอกสารหมายเลข ๕.๑.๑  </t>
  </si>
  <si>
    <t>แผนดิน</t>
  </si>
  <si>
    <t>งบดำเนินเงิน</t>
  </si>
  <si>
    <t>18.งบกลางมหาวิทยาลัยราชภัฏลำปาง</t>
  </si>
  <si>
    <t>19.ศูนย์อบรมและการศึกษาต่อเนื่อง</t>
  </si>
  <si>
    <t xml:space="preserve">18.งบกลางมหาวิทยาลัยราชภัฏลำปาง </t>
  </si>
  <si>
    <t xml:space="preserve">19.ศูนย์อบรมและการศึกษาต่อเนื่อง </t>
  </si>
  <si>
    <t xml:space="preserve">ประเด็นกลยุทธ์ที่ 1 การผลิตบัณฑิตที่มีคุณภาพตอบสนองกลุ่มผู้เรียนที่หลากหลาย </t>
  </si>
  <si>
    <t xml:space="preserve">ประเด็นกลยุทธ์ที่ 2 การวิจัยพัฒนาและแก้ปัญหาชุมชนท้องถิ่นอย่างมีคุณภาพ </t>
  </si>
  <si>
    <t xml:space="preserve">ประเด็นกลยุทธ์ที่ 3 การบริการวิชาการเพื่อสร้างความเข้มแข็งแก่ชุมชนท้องถิ่น </t>
  </si>
  <si>
    <t xml:space="preserve">ประเด็นกลยุทธ์ที่ 4 การทำนุบำรุงศิลปวัฒนธรรมและภูมิปัญญาท้องถิ่นให้ยั่งยืน </t>
  </si>
  <si>
    <t xml:space="preserve">ประเด็นกลยุทธ์ที่ 5 การบริหารและพัฒนาองค์กรแห่งการเรียนรู้ </t>
  </si>
  <si>
    <t xml:space="preserve">ประเด็นกลยุทธ์ที่ 6 การบริหารทรัพย์สินและสร้างรายได้แก่องค์กร </t>
  </si>
  <si>
    <r>
      <t>6.ผลเบิกจ่ายงบประมาณ จำแนกตามประเด็นกลยุทธ์และไตรมาส มหาวิทยาลัยราชภัฏลำปาง</t>
    </r>
    <r>
      <rPr>
        <sz val="14"/>
        <color theme="1"/>
        <rFont val="TH SarabunPSK"/>
        <family val="2"/>
      </rPr>
      <t xml:space="preserve"> </t>
    </r>
  </si>
  <si>
    <t>%</t>
  </si>
  <si>
    <t>เงินงบประมาณแผ่นดิน</t>
  </si>
  <si>
    <t>สรุปรายจ่ายเงินงบประมาณแผ่นดิน</t>
  </si>
  <si>
    <t>คิดเป็น</t>
  </si>
  <si>
    <t>เงินเดือน</t>
  </si>
  <si>
    <t>ค่าจ้างชั่วคราว</t>
  </si>
  <si>
    <t>ค่าตอบแทนใช้สอย วัสดุ</t>
  </si>
  <si>
    <t>ค่าสาธารณูปโภค</t>
  </si>
  <si>
    <t>ค่าครุภัณฑ์</t>
  </si>
  <si>
    <t>ค่าที่ดินและสิ่งก่อสร้าง</t>
  </si>
  <si>
    <t>เงินอุดหนุน</t>
  </si>
  <si>
    <t>รายจ่ายอื่น</t>
  </si>
  <si>
    <t>สำนักงานคณบดี คณะครุศาสตร์</t>
  </si>
  <si>
    <t>สาขาวิชาการศึกษาปฐมวัย</t>
  </si>
  <si>
    <t>สาขาวิชาภาษาอังกฤษ (ค.บ.)</t>
  </si>
  <si>
    <t>สาขาวิชาคอมพิวเตอร์(ค.บ.)</t>
  </si>
  <si>
    <t>สาขาวิชาภาษาไทย</t>
  </si>
  <si>
    <t>สาขาวิชาภาษาอังกฤษและจิตวิทยาการปรึกษาและการแนะแนว</t>
  </si>
  <si>
    <t>สำนักงานคณบดี คณะวิทยาศาสตร์</t>
  </si>
  <si>
    <t>สาขาวิชาวิทยาศาสตร์สิ่งแวดล้อม</t>
  </si>
  <si>
    <t>สาขาวิชาวิทยาการคอมพิวเตอร์</t>
  </si>
  <si>
    <t>สาขาวิชาเทคโนโลยีสารสนเทศ</t>
  </si>
  <si>
    <t>สาขาวิชาคณิตศาสตร์</t>
  </si>
  <si>
    <t>สาขาวิชาอุตสาหกรรมอาหารและบริการ</t>
  </si>
  <si>
    <t>สาขาวิชาสาธารณสุขชุมชน</t>
  </si>
  <si>
    <t>ศูนย์วิทยาศาสตร์และวิทยาศาสตร์ประยุกต์</t>
  </si>
  <si>
    <t>สาขาวิชาเคมี</t>
  </si>
  <si>
    <t>สาขาวิชาวิทยาศาสตร์ทั่วไป</t>
  </si>
  <si>
    <t>สาขาวิชาชีววิทยา</t>
  </si>
  <si>
    <t>สาขาวิชาฟิสิกส์</t>
  </si>
  <si>
    <t>สาขาวิชาเคมีประยุกต์ (ป.โท)</t>
  </si>
  <si>
    <t>สำนักงานคณบดี คณะมนุษย์ศาสตร์และสังคมศาสตร์</t>
  </si>
  <si>
    <t>สาขาวิชาศิลปะและการออกแบบ</t>
  </si>
  <si>
    <t>สาขาวิชาภาษาไทย (ศศ.บ.)</t>
  </si>
  <si>
    <t>สาขาวิชาภาษาอังกฤษ(ศศ.บ.)</t>
  </si>
  <si>
    <t>สาขาวิชาการพัฒนาชุมชน</t>
  </si>
  <si>
    <t>สาขาวิชาดนตรี</t>
  </si>
  <si>
    <t>สาขาวิชาภาษาจีน(ศศ.บ.)</t>
  </si>
  <si>
    <t>สาขาวิชาสังคมศึกษา</t>
  </si>
  <si>
    <t>สาขาวิชารัฐประศาสนศาสตร์</t>
  </si>
  <si>
    <t>สาขาวิชานิติศาสตร์</t>
  </si>
  <si>
    <t>สาขาวิชาภาษาไทยเพื่อการสื่อสารสำหรับชาวต่างประเทศ</t>
  </si>
  <si>
    <t>สาขาวิชาภาษาจีน(ค.บ.)</t>
  </si>
  <si>
    <t>สาขาวิชาการเมืองและการปกครอง</t>
  </si>
  <si>
    <t>สำนักงานคณบดี คณะวิทยาการจัดการ</t>
  </si>
  <si>
    <t>สาขาวิชานิเทศศาสตร์</t>
  </si>
  <si>
    <t>สาขาวิชาการตลาด</t>
  </si>
  <si>
    <t>สาขาวิชาการจัดการทั่วไป</t>
  </si>
  <si>
    <t>สาขาวิชาการบัญชี</t>
  </si>
  <si>
    <t>สาขาวิชาคอมพิวเตอร์ธุรกิจ</t>
  </si>
  <si>
    <t>สาขาวิชาอุตสาหกรรมท่องเที่ยว</t>
  </si>
  <si>
    <t>สาขาวิชาจัดการธุรกิจระหว่างประเทศ</t>
  </si>
  <si>
    <t>สาขาวิชาเศรษฐศาสตร์</t>
  </si>
  <si>
    <t>สาขาธุรกิจอิเล็กทรอนิกส์</t>
  </si>
  <si>
    <t>ฝ่ายกิจการนักศึกษา</t>
  </si>
  <si>
    <t>สำนักงานคณบดี คณะเทคโนโลยีอุตสาหกรรม</t>
  </si>
  <si>
    <t>สาขาวิชาเทคโนโลยีเซรามิกส์</t>
  </si>
  <si>
    <t>สาขาวิชาเทคโนโลยีโยธา</t>
  </si>
  <si>
    <t>สาขาวิชาวิศวกรรมซอฟต์แวร์</t>
  </si>
  <si>
    <t>สาขาวิชาเทคโนโลยีการผลิต</t>
  </si>
  <si>
    <t>สาขาวิชาเทคโนโลยีคอมพิวเตอร์อุตสาหกรรม</t>
  </si>
  <si>
    <t>สาขาวิชาเทคโนโลยีไฟฟ้า</t>
  </si>
  <si>
    <t>สาขาวิชามาตรวิทยาและระบบคุณภาพ</t>
  </si>
  <si>
    <t>สาขาวิชาเทคโนโลยีพลังงาน</t>
  </si>
  <si>
    <t>สาขาวิชาอุตสาหกรรมศิลป์</t>
  </si>
  <si>
    <t>สำนักงานคณบดี คณะเทคโนโลยีการเกษตร</t>
  </si>
  <si>
    <t>สาขาวิชาเกษตรศาสตร์</t>
  </si>
  <si>
    <t>สาขาวิชาวิทยาศาสตร์และเทคโนโลยีการอาหาร</t>
  </si>
  <si>
    <t>ศูนย์การเรียนรู้เกษตรผสมผสานตามแนวพระราชดำริ</t>
  </si>
  <si>
    <t>งานบริหารทั่วไป สำนักวิทยบริการและเทคโนโลยีสารสนเทศ</t>
  </si>
  <si>
    <t>งานบริการคอมพิวเตอร์</t>
  </si>
  <si>
    <t>งานบริการห้องสมุด</t>
  </si>
  <si>
    <t>งานบริหารทั่วไป สถาบันวิจัยและพัฒนา</t>
  </si>
  <si>
    <t>งานการจัดการวิจัย</t>
  </si>
  <si>
    <t>งานบริการวิชาการและจัดการความรู้</t>
  </si>
  <si>
    <t>งานบริหารทั่วไป สำนักศิลปะและวัฒนธรรม</t>
  </si>
  <si>
    <t>งานส่งเสริมเผยแพร่</t>
  </si>
  <si>
    <t>งานศึกษาค้นคว้าและวิจัย</t>
  </si>
  <si>
    <t>งานบริหารทั่วไป</t>
  </si>
  <si>
    <t>งานการเจ้าหน้าที่และสวัสดิการ</t>
  </si>
  <si>
    <t>งานคลัง</t>
  </si>
  <si>
    <t>งานพัสดุ</t>
  </si>
  <si>
    <t>งานนิติกร</t>
  </si>
  <si>
    <t>งานประชุมและพิธีการ</t>
  </si>
  <si>
    <t>งานยานพาหนะ</t>
  </si>
  <si>
    <t>งานเลขานุการ</t>
  </si>
  <si>
    <t>งานบริหารทั่วไป กองนโยบายและแผน</t>
  </si>
  <si>
    <t>งานประกันคุณภาพ</t>
  </si>
  <si>
    <t>งานบริหารทั่วไป กองพัฒนานักศึกษา</t>
  </si>
  <si>
    <t>งานเลขาสภาคณาจารย์และข้าราชการ</t>
  </si>
  <si>
    <t>งานเลขาโครงการจัดตั้งสถาบันภาษา</t>
  </si>
  <si>
    <t>งานวิเทศสัมพันธ์</t>
  </si>
  <si>
    <t>งบกลางมหาวิทยาลัยราชภัฏลำปาง</t>
  </si>
  <si>
    <t>ศูนย์อบรมและการศึกษาต่อเนื่อง</t>
  </si>
  <si>
    <t>สรุปรายจ่ายเงินรายได้</t>
  </si>
  <si>
    <t>งานสิทธิประโยชน์</t>
  </si>
  <si>
    <t>งานประชาสัมพันธ์</t>
  </si>
  <si>
    <t>งานวิเคราะห์นโยบายและแผน</t>
  </si>
  <si>
    <t>งานประสานงานบัณฑิตศึกษา</t>
  </si>
  <si>
    <t>สาขาวิชาหลักสูตรและการสอน(ป.โท)</t>
  </si>
  <si>
    <t>สาขาวิชาการบริหารและพัฒนาประชาคมเมืองและชนบท (ป.โท)</t>
  </si>
  <si>
    <t>สาขาวิชาการจัดการ(ป.โท)</t>
  </si>
  <si>
    <t>สาขาวิชาการจัดการ(ป.เอก)</t>
  </si>
  <si>
    <t>สาขาวิชาการบัญชี (ป.โท)</t>
  </si>
  <si>
    <t>ประกาศนียบัตรวิชาชีพครู</t>
  </si>
  <si>
    <t>สาขาวิชาภาษาไทย (ป.เอก)</t>
  </si>
  <si>
    <t>สาขาวิชาเคมีประยุกต์(ป.โท)</t>
  </si>
  <si>
    <t>โรงเรียนสาธิตมหาวิทยาลัยราชภัฏลำปาง</t>
  </si>
  <si>
    <t>ประเด็นกลยุทธ์ที่ 1 การผลิตบัณฑิตที่มีคุณภาพและตอบสนองกลุ่มผุ้เรียนที่หลากหลาย</t>
  </si>
  <si>
    <t>ประเด็นกลยุทธ์ที่ 3 การบริการวิชาการเพื่อสร้างความเข้มแข็งยั่งยืนแก่ชุมชนท้องถิ่น</t>
  </si>
  <si>
    <t>ประเด็นกลยุทธ์ที่ 4 การทำนุบำรุงศิลปวัฒนธรรมและภูมิปัญญาท้องถิ่นให้ยั่งยืน</t>
  </si>
  <si>
    <t>เพิ่ม</t>
  </si>
  <si>
    <t>แหล่งงบประมาณ</t>
  </si>
  <si>
    <t>รวมทุกงบประมาณ</t>
  </si>
  <si>
    <t>ผลการเบิกจ่ายสะสม</t>
  </si>
  <si>
    <t>จำนวนเงิน</t>
  </si>
  <si>
    <t>เป้าหมายรัฐบาล(ร้อยละ)</t>
  </si>
  <si>
    <t>รายจ่ายภาพรวม</t>
  </si>
  <si>
    <t>รายจ่ายลงทุน</t>
  </si>
  <si>
    <t>ตามสัญญา</t>
  </si>
  <si>
    <t>งวดที่</t>
  </si>
  <si>
    <t>ระยะเวลา(วัน)</t>
  </si>
  <si>
    <t>ร้อยละเบิก</t>
  </si>
  <si>
    <t>(บาท)</t>
  </si>
  <si>
    <t>1</t>
  </si>
  <si>
    <t>2</t>
  </si>
  <si>
    <t>3</t>
  </si>
  <si>
    <t>4</t>
  </si>
  <si>
    <t>5</t>
  </si>
  <si>
    <t>6</t>
  </si>
  <si>
    <t>7</t>
  </si>
  <si>
    <t>8</t>
  </si>
  <si>
    <t>9</t>
  </si>
  <si>
    <t>10</t>
  </si>
  <si>
    <t>11</t>
  </si>
  <si>
    <t>12</t>
  </si>
  <si>
    <t>13</t>
  </si>
  <si>
    <t>14</t>
  </si>
  <si>
    <t>15</t>
  </si>
  <si>
    <t>16</t>
  </si>
  <si>
    <t>17</t>
  </si>
  <si>
    <t>18</t>
  </si>
  <si>
    <t>19</t>
  </si>
  <si>
    <t>20</t>
  </si>
  <si>
    <t>21</t>
  </si>
  <si>
    <t>22</t>
  </si>
  <si>
    <t>23</t>
  </si>
  <si>
    <t>24</t>
  </si>
  <si>
    <t>งบประมาณเบิก</t>
  </si>
  <si>
    <t>งบประมาณก่อสร้าง 326,490,000 บาท</t>
  </si>
  <si>
    <t>เงินรายได้สมทบ จำนวน 16,324,500 บาท</t>
  </si>
  <si>
    <t>สัญญาเลขที่ มร.ลป.1/2560 ลงวันที่ 10 ตุลาคม 2559 บ.ศิลป์โยธา จำกัด</t>
  </si>
  <si>
    <t>เบิกสะสม</t>
  </si>
  <si>
    <t>กำหนดเวลา</t>
  </si>
  <si>
    <t>25</t>
  </si>
  <si>
    <t>26</t>
  </si>
  <si>
    <t>27</t>
  </si>
  <si>
    <t>28</t>
  </si>
  <si>
    <t>29</t>
  </si>
  <si>
    <t>30</t>
  </si>
  <si>
    <t>31</t>
  </si>
  <si>
    <t>32</t>
  </si>
  <si>
    <t>จำนวนเบิกจ่ายจริง</t>
  </si>
  <si>
    <t>โครงการส่งเสริมคุณภาพการศึกษาโรงเรียนตำรวจตะเวนชายแดน</t>
  </si>
  <si>
    <t>ศูนย์ฝึกประสบการณ์วิชาชีพครู</t>
  </si>
  <si>
    <t>ฝ่ายกิจการนักศึกษา คณะครุศาสตร์</t>
  </si>
  <si>
    <t>สาขาวิชาการจัดการธุรกิจค้าปลีก</t>
  </si>
  <si>
    <t>งานอาคารสถานที่</t>
  </si>
  <si>
    <t>งานกิจกรรมนักศึกษา</t>
  </si>
  <si>
    <t>งานบริการและสวัสดิการ</t>
  </si>
  <si>
    <t>ประเด็นกลยุทธ์ที่ 1 การผลิตบัณฑิตที่มีคุณภาพและตอบสนองกลุ่มผุ้เรียนที่หลากหลาย(ด้านสังคมฯ)</t>
  </si>
  <si>
    <t>ประเด็นกลยุทธ์ที่ 1 การผลิตบัณฑิตที่มีคุณภาพและตอบสนองกลุ่มผุ้เรียนที่หลากหลาย(ด้านวิทย์ฯ)</t>
  </si>
  <si>
    <t>ประเด็นกลยุทธ์ที่ 2 การวิจัยพัฒนาและแก้ปัญหาชุมชนท้องถิ่นอย่างมีคุณภาพ</t>
  </si>
  <si>
    <t>ประเด็นกลยุทธ์ที่ 5 การบริหารและพัฒนาองค์กรแห่งการเรียนรู้(ด้านวิทย์ฯ)</t>
  </si>
  <si>
    <t>ประเด็นกลยุทธ์ที่ 5 การบริหารและพัฒนาองค์กรแห่งการเรียนรู้(ด้านสังคมฯ)</t>
  </si>
  <si>
    <t>20.โรงเรียสาธิตมหาวิทยาลัยราชภัฏลำปาง</t>
  </si>
  <si>
    <t>เทคโนอุตฯ</t>
  </si>
  <si>
    <t>20.โรงเรียนสาธิตมหาวิทยาลัยราชภัฏลำปาง</t>
  </si>
  <si>
    <t>1.งบบุคลากร</t>
  </si>
  <si>
    <t>2.งบดำเนินงาน</t>
  </si>
  <si>
    <t>3.งบลงทุน</t>
  </si>
  <si>
    <t>4.งบอุดหนุน</t>
  </si>
  <si>
    <t>5.งบรายจ่ายอื่น</t>
  </si>
  <si>
    <t>คณะครุศาสตร์</t>
  </si>
  <si>
    <t>คณะวิทยาศาสตร์</t>
  </si>
  <si>
    <t>คณะมนุษย์ศาสตร์และสังคมศาสตร์</t>
  </si>
  <si>
    <t>คณะวิทยาการจัดการ</t>
  </si>
  <si>
    <t>คณะเทคโนโลยีอุตสาหกรรม</t>
  </si>
  <si>
    <t>คณะเทคโนโลยีการเกษตร</t>
  </si>
  <si>
    <t>สำนักวิทยบริการและเทคโนโลยีสารสนเทศ</t>
  </si>
  <si>
    <t>สำนักงานอธิการบดี</t>
  </si>
  <si>
    <t>สำนักงานบัณฑิตศึกษา</t>
  </si>
  <si>
    <t xml:space="preserve">โรงเรียนสาธิตมหาวิทยาลัยราชภัฏลำปาง </t>
  </si>
  <si>
    <t>ประเภทงบประมาณ/หน่วยงาน</t>
  </si>
  <si>
    <t>ภาพรวม</t>
  </si>
  <si>
    <t>รายจ่ายประจำ</t>
  </si>
  <si>
    <t>งบประมาณกันเหลื่อมปี</t>
  </si>
  <si>
    <t>ร้อยละคงเหลือ</t>
  </si>
  <si>
    <t xml:space="preserve">  9 พ.ย.59</t>
  </si>
  <si>
    <t xml:space="preserve">  9 ธ.ค.59</t>
  </si>
  <si>
    <t xml:space="preserve">  8 ม.ค.60</t>
  </si>
  <si>
    <t xml:space="preserve">  7 ก.พ.60</t>
  </si>
  <si>
    <t xml:space="preserve">  9 มี.ค.60</t>
  </si>
  <si>
    <t xml:space="preserve">  8 เม.ย.60</t>
  </si>
  <si>
    <t xml:space="preserve">  8 พ.ค.60</t>
  </si>
  <si>
    <t xml:space="preserve">  7 มิ.ย.60</t>
  </si>
  <si>
    <t xml:space="preserve">  7 ก.ค.60</t>
  </si>
  <si>
    <t xml:space="preserve">  6 ส.ค.60</t>
  </si>
  <si>
    <t xml:space="preserve">  5 ก.ย.60</t>
  </si>
  <si>
    <t xml:space="preserve">  5 ต.ค.60</t>
  </si>
  <si>
    <t xml:space="preserve">  4 พ.ย.60</t>
  </si>
  <si>
    <t xml:space="preserve">  4 ธ.ค.60</t>
  </si>
  <si>
    <t xml:space="preserve">  3 ม.ค.61</t>
  </si>
  <si>
    <t xml:space="preserve">  2 ก.พ.61</t>
  </si>
  <si>
    <t xml:space="preserve">  4 มี.ค.61</t>
  </si>
  <si>
    <t xml:space="preserve">  3 เม.ย.61</t>
  </si>
  <si>
    <t xml:space="preserve">  4 พ.ค.61</t>
  </si>
  <si>
    <t xml:space="preserve">  2 มิ.ย.61</t>
  </si>
  <si>
    <t xml:space="preserve">  2 ก.ค.61</t>
  </si>
  <si>
    <t xml:space="preserve">  1 ส.ค.61</t>
  </si>
  <si>
    <t xml:space="preserve">  31 ส.ค.61</t>
  </si>
  <si>
    <t xml:space="preserve">  30 ก.ย.61</t>
  </si>
  <si>
    <t xml:space="preserve">  30 ต.ค.61</t>
  </si>
  <si>
    <t xml:space="preserve">  29 พ.ย.61</t>
  </si>
  <si>
    <t xml:space="preserve">  29 ธ.ค.61</t>
  </si>
  <si>
    <t xml:space="preserve">  28 ม.ค.62</t>
  </si>
  <si>
    <t xml:space="preserve">  27 ก.พ.62</t>
  </si>
  <si>
    <t xml:space="preserve">  29 มี.ค.62</t>
  </si>
  <si>
    <t xml:space="preserve">  28 เม.ย.62</t>
  </si>
  <si>
    <t xml:space="preserve">  28 พ.ค.62</t>
  </si>
  <si>
    <t>งานบริหารทั่วไป กองบริการการศึกษา</t>
  </si>
  <si>
    <t>7.สำนักวิทยบริการฯ</t>
  </si>
  <si>
    <t>20.โรงเรียสาธิตฯ</t>
  </si>
  <si>
    <t>3.คณะมนุษย์ฯ</t>
  </si>
  <si>
    <t>ลำดับ</t>
  </si>
  <si>
    <t>รายการ</t>
  </si>
  <si>
    <t>จำนวนที่ขอ</t>
  </si>
  <si>
    <t>ราคาต่อหน่วย</t>
  </si>
  <si>
    <t>รวมเป็นเงิน</t>
  </si>
  <si>
    <t>หน่วย</t>
  </si>
  <si>
    <t>จำนวน</t>
  </si>
  <si>
    <t>เครื่อง</t>
  </si>
  <si>
    <t>:  คณะวิทยาศาสตร์</t>
  </si>
  <si>
    <t>ชุด</t>
  </si>
  <si>
    <t>งาน</t>
  </si>
  <si>
    <t>ผลผลิต</t>
  </si>
  <si>
    <t>:  ผู้สำเร็จการศึกษาด้านวิทยาศาสตร์และเทคโนโลยี</t>
  </si>
  <si>
    <t>:  คณะเทคโนโลยีการเกษตร</t>
  </si>
  <si>
    <t>:  ผู้สำเร็จการศึกษาด้านสังคมศาสตร์</t>
  </si>
  <si>
    <t>: คณะครุศาสตร์</t>
  </si>
  <si>
    <t>: คณะมนุษยศาสตร์และสังคมศาสตร์</t>
  </si>
  <si>
    <t>: คณะวิทยาการจัดการ</t>
  </si>
  <si>
    <t>งบประมาณผูกพัน</t>
  </si>
  <si>
    <t>งบประมาณเบิกจ่าย</t>
  </si>
  <si>
    <t>เกษตรฯ</t>
  </si>
  <si>
    <t>สาขาวิชานวัตกรรมและธุรกิจอาหาร</t>
  </si>
  <si>
    <t>ศูนย์บริการสนับสนุนนักศึกษาพิการ</t>
  </si>
  <si>
    <t>ประเด็นกลยุทธ์ที่ 1 การผลิตบัณฑิตที่มีคุณภาพตอบสนองกลุ่มผู้เรียนที่หลากหลาย</t>
  </si>
  <si>
    <t>ประเด็นกลยุทธ์ที่ 5 การบริหารและพัฒนาองค์กรแห่งการเรียนรู้</t>
  </si>
  <si>
    <t>ประเด็นกลยุทธ์ที่ 6 การสร้างความมั่นคงและแสวงหารายได้(ด้านวิทย์ฯ)</t>
  </si>
  <si>
    <t>รายงานผลการดำเนินงานตามแผนปฏิบัติงานประจำปีงบประมาณ พ.ศ.2562</t>
  </si>
  <si>
    <t>1.ผลการเบิกจ่ายงบประมาณ ประจำปีงบประมาณรายจ่าย พ.ศ.2562 จำแนกตามแหล่งงบประมาณ</t>
  </si>
  <si>
    <t>รายงานการเบิกจ่ายงบประมาณตามแผนปฏิบัติงานประจำปีงบประมาณ พ.ศ.2562</t>
  </si>
  <si>
    <t>ปีงบประมาณ พ.ศ.2562</t>
  </si>
  <si>
    <t>1.ผลการเบิกจ่ายงบประมาณ ประจำปีงบประมาณ พ.ศ.2562</t>
  </si>
  <si>
    <t>2.งบรายได้กันเหลื่อมปี ประจำปีงบประมาณรายจ่าย พ.ศ. 2561</t>
  </si>
  <si>
    <t>งบรายได้กันเหลื่อมปี ประจำปีงบประมาณรายจ่าย พ.ศ. 2561</t>
  </si>
  <si>
    <t>สถาบันวิจัยและพัฒนา</t>
  </si>
  <si>
    <t>สำนักศิลปะและวัฒนธรรม</t>
  </si>
  <si>
    <t>เครื่องชั่งไฟฟ้า</t>
  </si>
  <si>
    <t>เครื่องทำแห้งลูกกลิ้ง</t>
  </si>
  <si>
    <t>เครื่องเขย่าแบบควบคุมอุณหภูมิ</t>
  </si>
  <si>
    <t>เครื่องปั่นเหวี่ยงแบบตั้งโต๊ะ</t>
  </si>
  <si>
    <t>เครื่องทำน้ำเย็นแบบต่อท่อประปา ขนาด 2 ก๊อก พร้อมเครื่องกรองน้ำ</t>
  </si>
  <si>
    <t>ชุดปฏิบัติการสำรวจโดยการหาพิกัดด้วยสัญญาณดาวเทียม GNSS ประกอบด้วย
1) เครื่องหาพิกัดด้วยสัญญาณดาวเทียม GNSS ชนิด  หลายความถี่ สำหรับสถานีอ้างอิง (Base Station)  พร้อมอุปกรณ์ จำนวน 1 ชุด
2) เครื่องหาพิกัดด้วยสัญญาณดาวเทียม GNSS ชนิด หลายความถี่สำหรับสถานีเคลื่อนที่ (Rover Station)  พร้อมอุปกรณ์ จำนวน 2 ชุด 
3) เครื่องควบคุมเครื่องรับสัญญาณดาวเทียม GNSS   จำนวน 2 เครื่อง
4) โปรแกรมประมวลผลข้อมูลสัญญาณดาวเทียม  GNSS จำนวน 1 ชุด</t>
  </si>
  <si>
    <t>ชุดปฏิบัติการขึ้นรูปผลิตภัณฑ์เซรามิกด้วยแป้นหมุน</t>
  </si>
  <si>
    <t>ชุดระบบ Solar Cell System Trainer</t>
  </si>
  <si>
    <t>ชุดปฏิบัติการการเรียนรู้ภูมิสารสนเทศศาสตร์ภาคสนาม
1) โดรนถ่ายภาพ
2) กล้องถ่ายภาพและภาพเคลื่อนไหว 
3) คอมพิวเตอร์โน๊ตบุ๊ก ( กระทรววงเทคโนโลยีสารสนเทศฯ ข้อที่11และข้อที่69)</t>
  </si>
  <si>
    <t>โมเดลกายวิภาคมนุษย์แบบแยกส่วนได้</t>
  </si>
  <si>
    <t>เครื่องควบคุมอุณหภูมิแบบหมุนเวียน</t>
  </si>
  <si>
    <t xml:space="preserve">เครื่องกลั่นหาปริมาณไนโตรเจนและโปรตีน
1) เครื่องกลั่นหาปริมาณไนโตรเจนและโปรตีน
2) ชุดควบคุมอุณหภูมิแบบน้ำหมุนเวียน </t>
  </si>
  <si>
    <t>ชุดปฏิบัติการทดลองกฎฟิสิกส์ของคูลอมบ์-ประจุเสมือนเชื่อมต่อคอมพิวเตอร์ 
** มีคอมพิวเตอร์เป็นส่วนประกอบ (กระทรววงเทคโนโลยีสารสนเทศฯ ข้อที่9)</t>
  </si>
  <si>
    <t xml:space="preserve">ตู้ปลอดเชื้อ </t>
  </si>
  <si>
    <t>ตู้</t>
  </si>
  <si>
    <t>ชุดเครือข่ายคอมพิวเตอร์เพื่อความปลอดภัยของมหาวิทยาลัยราชภัฏลำปาง ประกอบด้วย
1) แผงวงจรเครื่องคอมพิวเตอร์แม่ข่าย ชนิด Blade สำหรับตู้Enclosure/Chassis แบบที่ 1  3 ชุด ๆ ละ 180,000 บาท
2) อุปกรณ์กระจายสัญญาณ (L3 Switch) ขนาด 24 ช่อง แบบที่ 2  3 ชุด ๆ ละ 130,000 บาท
3) อุปกรณ์กระจายสัญญาณ (L2 Switch) ขนาด 24 ช่อง แบบที่ 2 3 ชุด ๆ ละ 21,000 บาท</t>
  </si>
  <si>
    <t>ชุดสืบค้นข้อมูลสารสนเทศด้วยเทคโนโลยีดิจิทัลเพื่อสนับสนุนการผลิตนวัตกรรมไทย ประกอบด้วย
1) เครื่องคอมพิวเตอร์สำหรับงานประมวลผล แบบที่ 1  จำนวน 25 ชุด ๆ ละ 22,000 บาท 
2) เครื่องปรับอากาศ ขนาด 50000 BTU จำนวน 2 ชุด ๆ ละ 57,000 บาท
3) พัดลมอุตสาหกรรม 24 นิ้ว 3 ขา จำนวน 3 ชุด ๆ ละ 2,500 บาท 
4) เครื่องพิมพ์แบบฉีดหมึก  จำนวน 2 ชุด ๆ ละ 7,900 บาท 
5) โต๊ะคอมพิวเตอร์  จำนวรน 25 ชุด ๆ ละ 4,200 บาท 
6) ชุดไมโครโฟนบันทึกเสียง พร้อมอุปกรณ์ จำนวน 2 ชุด ๆ ละ 13,600 บาท</t>
  </si>
  <si>
    <t>:  คณะเทคโนโลยีอุตสาหกรรม</t>
  </si>
  <si>
    <t>: สำนักวิทยบริการและเทคโนโลยีสารสนเทศ</t>
  </si>
  <si>
    <t>3.4 รายการครุภัณฑ์ ปีงบประมาณ 2562</t>
  </si>
  <si>
    <t>เครื่องคอมพิวเตอร์ แม่ข่าย (1)</t>
  </si>
  <si>
    <t>ระบบกล้องวงจรปิดพร้อมติดตั้ง (1)</t>
  </si>
  <si>
    <t>เครื่องบันทึกข้อมูลส่วนกลาง (NAS)</t>
  </si>
  <si>
    <t>เครื่องสำรองไฟ (60)</t>
  </si>
  <si>
    <t>เครื่องสำรองไฟฟ้า (58)</t>
  </si>
  <si>
    <t>กล้องถ่ายภาพนิ่งระบบดิจิตอล (5.4.2)</t>
  </si>
  <si>
    <t>เครื่องถ่ายเอกสารระบบดิจิตอล (10.2.1)</t>
  </si>
  <si>
    <t>เครื่องพิมพ์สำเนาระบบดิจิตอล (10.3.1)</t>
  </si>
  <si>
    <t xml:space="preserve">เตาเผาเซรามิคขนาดเล็ก </t>
  </si>
  <si>
    <t>เตา</t>
  </si>
  <si>
    <t xml:space="preserve">เครื่องขึ้นรูปต้นแบบ (เครื่องจิกเกอร์) </t>
  </si>
  <si>
    <t>ชุดครุภัณฑ์วงเครื่องเป่าลมไม้ควอเตท (Woodwind Quartet) (ดนตรี) 
1) SOPRANO SAXOPHONE (2 เครื่อง) 
2) ALTO SAXOPHONE (2 เครื่อง) 
3) TENOR SAXOPHONE (2 เครื่อง) 
4) BARITONE SAXOPHONE (1 เครื่อง)</t>
  </si>
  <si>
    <t>ชุดครุภัณฑ์ห้องปฎิบัติการภูมิสารสนเทศ (ICT 8,58,30)  
1) เครื่องคอมพิวเตอร์สำหรับงานประมวลแบบที่ 1 (10 เครื่อง) 
2) เครื่องสำรองไฟฟ้า (UPS) ขนาด 800 VA (10 เครื่อง) 
3) อุปกรณ์กระจายสัญญาณ (L2 Switch) ขนาด 24 ช่อง  แบบที่ 2 (1 เครื่อง) 
4) โต๊ะคอมพิวเตอร์พร้อมเก้าอี้ (10 ชุด) 
5) ตู้เก็บของ/เอกสาร (1 หลัง) 
6) ติดตั้งระบบเครือข่ายฯ และไฟฟ้า (10 จุด)</t>
  </si>
  <si>
    <t>เครื่องพิมพ์ 3 มิติ (ออกแบบ)</t>
  </si>
  <si>
    <t>ชุดฝึกปฏิบัติการคอมพิวเตอร์กราฟิก สำหรับงานธุรกิจดิจิทัล สาขาวิชาการจัดการธุรกิจอิเล็กทรอนิกส์ ประกอบด้วย 
1) เมาส์ปากกาสำหรับการสร้างสรรค์  20 ตัว ๆ ละ 10,300 บาท
2) เครื่องพิมพ์แบบฉีดหมึก (Inkjet Printer) สำหรับกระดาษ 2 เครื่อง ๆ ละ 7,900 บาท</t>
  </si>
  <si>
    <t>ชุดกล้องถ่ายรูปแบบฟลูเฟรม พร้อมเลนส์ระดับโปรเฟสชั่นแนล</t>
  </si>
  <si>
    <t>ชุดฝึกปฏิบัติการถ่ายทอดสดในและนอกสถานที่ แบบไร้สาย (ระดับมืออาชีพ) สาขาวิชานิเทศศาสตร์ ประกอบด้วย 
1) อุปกรณ์รับ-ส่งแบบไร้สาย  
2) สวิซเชอร์ 
3) เครื่องบันทึกวีดีโอและบีบอัด 
4) วิทยุสื่อสารแบบ 2 ย่านความถี่ 
5) ไมค์คอนเดนเซอร์</t>
  </si>
  <si>
    <t>ผูกพันงบประมาณ ปี 2563 จำนวน 119,103,600 บาท</t>
  </si>
  <si>
    <t>ตั้งงบประมาณ ปี 2560-2561 จำนวน 125,462,000 บาท</t>
  </si>
  <si>
    <t>ผูกพันงบประมาณ ปี 2562 จำนวน 65,599,900 บาท</t>
  </si>
  <si>
    <t xml:space="preserve">              3.รายการงบลงทุนปีงบประมาณ 2562 มีดังนี้</t>
  </si>
  <si>
    <t xml:space="preserve">                 3.1 งานก่อสร้างคารเรียนคณะครุศาสตร์และมนุษยศาสตร์และสังคมศาสตร์ (ผูกพันปีงบประมาณ 60-63)</t>
  </si>
  <si>
    <t>มนุษย์ฯ</t>
  </si>
  <si>
    <t>-</t>
  </si>
  <si>
    <t>ประเด็นกลยุทธ์/ตัวชี้วัด</t>
  </si>
  <si>
    <t>หน่วยนับ</t>
  </si>
  <si>
    <t>ร้อยละผลสำเร็จเมื่อเทียบกับเป้าหมาย</t>
  </si>
  <si>
    <t xml:space="preserve">ประเด็นกลยุทธ์ที่ 1 การผลิตบัณฑิตที่มีคุณภาพและตอบสนองกลุ่มผู้เรียนที่หลากหลาย </t>
  </si>
  <si>
    <t xml:space="preserve">ร้อยละ </t>
  </si>
  <si>
    <t xml:space="preserve">คน </t>
  </si>
  <si>
    <t xml:space="preserve">สาขา </t>
  </si>
  <si>
    <t xml:space="preserve">หลักสูตร </t>
  </si>
  <si>
    <t xml:space="preserve">โครงการ </t>
  </si>
  <si>
    <t xml:space="preserve">ศูนย์ </t>
  </si>
  <si>
    <t xml:space="preserve">ประเด็นกลยุทธ์ที่ 3 การบริการวิชาการเพื่อสร้างความเข้มแข็งยั่งยืนแก่ชุมชนท้องถิ่น </t>
  </si>
  <si>
    <t xml:space="preserve">ชุมชน </t>
  </si>
  <si>
    <t xml:space="preserve">ฐานข้อมูล </t>
  </si>
  <si>
    <t xml:space="preserve">รายการ </t>
  </si>
  <si>
    <t xml:space="preserve">แห่ง </t>
  </si>
  <si>
    <t xml:space="preserve">คะแนน </t>
  </si>
  <si>
    <t xml:space="preserve">ประเด็นกลยุทธ์ที่ 6 การสร้างความมั่นคงและแสวงหารายได้ </t>
  </si>
  <si>
    <t xml:space="preserve">ของเงินรายได้ประจำปี </t>
  </si>
  <si>
    <r>
      <rPr>
        <b/>
        <sz val="16"/>
        <color theme="1"/>
        <rFont val="TH SarabunPSK"/>
        <family val="2"/>
      </rPr>
      <t>3.3 ก่อสร้างรั้วโรงเรียนสาธิตฯ</t>
    </r>
    <r>
      <rPr>
        <sz val="16"/>
        <color theme="1"/>
        <rFont val="TH SarabunPSK"/>
        <family val="2"/>
      </rPr>
      <t xml:space="preserve"> 
            งบประมาณ 1,200,000 บาท ได้ผู้รับจ้าง ในวงเงินงบประมาณ 992,000 บาท ระยะเวลาก่อสร้าง 100 วัน เริ่ม 1 พฤศจิกายน - 1 มีนาคม 2562 
</t>
    </r>
    <r>
      <rPr>
        <b/>
        <sz val="16"/>
        <color theme="1"/>
        <rFont val="TH SarabunPSK"/>
        <family val="2"/>
      </rPr>
      <t>สัญญาเลขที่ มร.ลป.6/2562 ลงวันที่ 21 พฤศจิกายน 2561 บ.ดีเค อิควิปเม้นท์ ชิสเต็ม จำกัด</t>
    </r>
  </si>
  <si>
    <r>
      <rPr>
        <b/>
        <sz val="16"/>
        <color theme="1"/>
        <rFont val="TH SarabunPSK"/>
        <family val="2"/>
      </rPr>
      <t>3.4 อาคารหอพักนักศึกษาครุศาสตร์ฯ (หอชาย)</t>
    </r>
    <r>
      <rPr>
        <sz val="16"/>
        <color theme="1"/>
        <rFont val="TH SarabunPSK"/>
        <family val="2"/>
      </rPr>
      <t xml:space="preserve">
            งบประมาณปี 2562 จำนวน 49,000,000 บาท สัญญาเลขที่ มร.ลป.10/2562 หจก.พายัพคอนสตรัสชั่น</t>
    </r>
  </si>
  <si>
    <t>เบิกจ่ายจริง</t>
  </si>
  <si>
    <t>งานนักศึกษานานาชาติ</t>
  </si>
  <si>
    <t>วิทยาการจัดการ</t>
  </si>
  <si>
    <t>วิจัยฯ</t>
  </si>
  <si>
    <t>ณ สิ้นไตรมาส 4</t>
  </si>
  <si>
    <t>(ตุลาคม - กันยายน)</t>
  </si>
  <si>
    <t>ครุฯ</t>
  </si>
  <si>
    <t>วิทย์ฯ</t>
  </si>
  <si>
    <t>มนุฯ</t>
  </si>
  <si>
    <t>สำนักวิทยะฯ</t>
  </si>
  <si>
    <t>สำนักศิลปะและวัฒนธรรมฯ</t>
  </si>
  <si>
    <t>สถาบันวิจัยและพัฒนาฯ</t>
  </si>
  <si>
    <t>กองกลางฯ</t>
  </si>
  <si>
    <t>กองแผนฯ</t>
  </si>
  <si>
    <t>กองพัฒนานักศึกษาฯ</t>
  </si>
  <si>
    <t>งานตรวจสอบติดตามประเมินผล ตรวจสอบฯ</t>
  </si>
  <si>
    <t>วิทยฯ</t>
  </si>
  <si>
    <t>วิทยาการจัดการฯ</t>
  </si>
  <si>
    <t>คณะเทคโนโลยีการเกษตรฯ</t>
  </si>
  <si>
    <t>สำนักวิทยฯ</t>
  </si>
  <si>
    <t>สำนักศิลปฯ</t>
  </si>
  <si>
    <t>กองบริการการศึกษา</t>
  </si>
  <si>
    <t>บัณฑิตฯ</t>
  </si>
  <si>
    <t>งานตรวจสอบด้านการบริหารการเงินและบัญชี ตรวจสอบภายใน</t>
  </si>
  <si>
    <t>ภาษาฯ</t>
  </si>
  <si>
    <t>แผนงานหลัก - แผนงานรอง - งาน/โครงการ</t>
  </si>
  <si>
    <t> - แผนงานรอง - งาน/โครงการ</t>
  </si>
  <si>
    <t xml:space="preserve">3.สรุปผลการดำเนินงานตามตัวชี้วัด ไตรมาส 4 ตามแผนปฏิบัติงาน ประจำปีงบประมาณ พ.ศ.2562 </t>
  </si>
  <si>
    <t>ร้อยละผลสำเร็จ</t>
  </si>
  <si>
    <t>เมื่อเทียบกับเป้าหมาย</t>
  </si>
  <si>
    <t>&gt;35</t>
  </si>
  <si>
    <t>&gt;20</t>
  </si>
  <si>
    <t>&gt;25</t>
  </si>
  <si>
    <t>&gt;1</t>
  </si>
  <si>
    <t>&gt;2</t>
  </si>
  <si>
    <t>&gt;12</t>
  </si>
  <si>
    <t>&gt;150</t>
  </si>
  <si>
    <t>&gt;5</t>
  </si>
  <si>
    <t>&gt;50</t>
  </si>
  <si>
    <t>&gt;60</t>
  </si>
  <si>
    <t>&gt;80</t>
  </si>
  <si>
    <t>&gt;10</t>
  </si>
  <si>
    <t>&gt;1.6</t>
  </si>
  <si>
    <t>ข้อมูล ณ วันที่ 30 กันยายน 2562</t>
  </si>
  <si>
    <t>เบิกจ่าย 
ณ วันที่ 30 ก.ย.62</t>
  </si>
  <si>
    <t>ร้อยละเบิกจ่าย 
ณ วันที่ 30 ก.ย.62</t>
  </si>
  <si>
    <t>คงเหลือ 
ณ 30 ก.ย.62</t>
  </si>
  <si>
    <t>N.A.</t>
  </si>
  <si>
    <t>รวมจัดสรรยกเว้นงบกลาง</t>
  </si>
  <si>
    <t>เบิก ยกเว้นงบกลาง</t>
  </si>
  <si>
    <t>เบิกยกเว้นงบกลาง</t>
  </si>
  <si>
    <t>เป้าหมายเบิกจ่าย (ร้อยละ 100)</t>
  </si>
  <si>
    <t>ไม่บรรลุ</t>
  </si>
  <si>
    <t xml:space="preserve">       หน่วยงานที่เบิกจ่ายงบประมาณต่ำสุด 5 ลำดับ คือ 1.โรงเรียนสาธิตมหาวิทยาลัยราชภัฏลำปาง เบิกจ่ายร้อยละ 39.20 2.หน่วยตรวจสอบภายใน  เบิกจ่ายร้อยละ 65.69 3.สำนักงานประสานงานบัณฑิตศึกษา เบิกจ่ายร้อยละ 67.40 4.สำนักสภาคณาจารย์และข้าราชการ เบิกจ่ายร้อยละ 71.68 5.กองบริการการศึกษา เบิกจ่ายร้อยละ 73.12</t>
  </si>
  <si>
    <t xml:space="preserve">              1.งบประมาณตามแผนปฏิบัติงาน 2562 มีจำนวน 598,600,377.64 บาท อนุมัติเพิ่มเติม โครงการก่อสร้างและจัดซื้อครุภัณฑ์ งานอาคารสถานที่ กองกลาง จำนวน 4,887,117.00 บาท นักศึกษานานาชาติ คณะวิทยาการจัดการ จำนวน 220,800.00 บาท  โรงเรียนสาธิต ม.ราชภัฏลำปาง จำนวน 2,035,200.00 บาท ระดับบัณฑิตศึกษา สาขาวิชาการจัดการ M.M. 456,750.00 บาท นักศึกษาต่างชาติ จำนวน 128,000.00 บาท หลักสูตรบัญชีมหาบัณฑิต จำนวน 77,000.00 บาท นักศึกษาแลกเปลี่ยน จำนวน 31,200.00 บาท ได้รับเงินอุดหนุนบุคลากรงบประมาณแผ่นดิน จำนวน 3,7062,045 บาท และงบบุคลากร จำนวน 870,525.64 บาท </t>
  </si>
  <si>
    <t xml:space="preserve">              2. มีการกันเงินเหลื่อมปีงบประมาณแผ่นดิน จำนวน 33,529,300.00 บาท คิดเป็นร้อยละ 6.80</t>
  </si>
  <si>
    <t>&gt;83</t>
  </si>
  <si>
    <t xml:space="preserve">ตัวชี้วัดที่ 6 : ร้อยละของอาจารย์ที่ผ่านกระบวนการพัฒนาทักษะการสอนแบบ deeper learning “Inquirybase instruction” </t>
  </si>
  <si>
    <r>
      <t xml:space="preserve">ตัวชี้วัดที่ 1 </t>
    </r>
    <r>
      <rPr>
        <sz val="14"/>
        <color theme="1"/>
        <rFont val="TH SarabunPSK"/>
        <family val="2"/>
      </rPr>
      <t xml:space="preserve">: ร้อยละการมีงานทำของบัณฑิต </t>
    </r>
  </si>
  <si>
    <r>
      <t xml:space="preserve">ตัวชี้วัดที่ 2 </t>
    </r>
    <r>
      <rPr>
        <sz val="14"/>
        <color theme="1"/>
        <rFont val="TH SarabunPSK"/>
        <family val="2"/>
      </rPr>
      <t xml:space="preserve">: ร้อยละของบัณฑิตที่ทำงานตรงและสัมพันธ์กับสาขาที่เรียน </t>
    </r>
  </si>
  <si>
    <r>
      <t xml:space="preserve">ตัวชี้วัดที่ 3 </t>
    </r>
    <r>
      <rPr>
        <sz val="14"/>
        <color theme="1"/>
        <rFont val="TH SarabunPSK"/>
        <family val="2"/>
      </rPr>
      <t xml:space="preserve">: จำนวนศิษย์เก่าที่สร้างชื่อเสียง คุณงามความดี เป็นที่ยอมรับในระดับท้องถิ่นหรือประเทศชาติในแต่ละปี </t>
    </r>
  </si>
  <si>
    <r>
      <t xml:space="preserve">ตัวชี้วัดที่ 4 </t>
    </r>
    <r>
      <rPr>
        <sz val="14"/>
        <color theme="1"/>
        <rFont val="TH SarabunPSK"/>
        <family val="2"/>
      </rPr>
      <t xml:space="preserve">: ร้อยละของบัณฑิตที่ได้รับการประเมินความพึงพอใจด้านอัตลักษณ์จากผู้ใช้บัณฑิต ในระดับดี </t>
    </r>
  </si>
  <si>
    <r>
      <t xml:space="preserve">ตัวชี้วัดที่ 5 </t>
    </r>
    <r>
      <rPr>
        <sz val="14"/>
        <color theme="1"/>
        <rFont val="TH SarabunPSK"/>
        <family val="2"/>
      </rPr>
      <t xml:space="preserve">: ร้อยละของนักศึกษาที่ได้รับการพัฒนาด้านอัตลักษณ์ </t>
    </r>
  </si>
  <si>
    <r>
      <t xml:space="preserve">ตัวชี้วัดที่ 6 </t>
    </r>
    <r>
      <rPr>
        <sz val="14"/>
        <color theme="1"/>
        <rFont val="TH SarabunPSK"/>
        <family val="2"/>
      </rPr>
      <t xml:space="preserve">: ร้อยละความพึงพอใจของผู้ใช้บัณฑิตต่อบัณฑิตมหาวิทยาลัย </t>
    </r>
  </si>
  <si>
    <r>
      <t xml:space="preserve">ตัวชี้วัดที่ 7 </t>
    </r>
    <r>
      <rPr>
        <sz val="14"/>
        <color theme="1"/>
        <rFont val="TH SarabunPSK"/>
        <family val="2"/>
      </rPr>
      <t xml:space="preserve">: ร้อยละความพึงพอใจของของบัณฑิตต่อการจัดการเรียนการสอนและการให้บริการของมหาวิทยาลัยกำหนด </t>
    </r>
  </si>
  <si>
    <r>
      <t xml:space="preserve">ตัวชี้วัดที่ 8 </t>
    </r>
    <r>
      <rPr>
        <sz val="14"/>
        <color theme="1"/>
        <rFont val="TH SarabunPSK"/>
        <family val="2"/>
      </rPr>
      <t xml:space="preserve">: จำนวนสาขาวิชาที่ได้รับการยอมรับในระดับชาติหรือระดับสากล </t>
    </r>
  </si>
  <si>
    <r>
      <t xml:space="preserve">ตัวชี้วัดที่ 9 </t>
    </r>
    <r>
      <rPr>
        <sz val="14"/>
        <color theme="1"/>
        <rFont val="TH SarabunPSK"/>
        <family val="2"/>
      </rPr>
      <t xml:space="preserve">: ร้อยละของหลักสูตรที่จัดการเรียนการสอนแบบศตวรรษที่ 21 </t>
    </r>
  </si>
  <si>
    <r>
      <t xml:space="preserve">ตัวชี้วัดที่ 10 </t>
    </r>
    <r>
      <rPr>
        <sz val="14"/>
        <color theme="1"/>
        <rFont val="TH SarabunPSK"/>
        <family val="2"/>
      </rPr>
      <t xml:space="preserve">: ร้อยละของนักศึกษาชั้นปีสุดท้ายสอบผ่านทักษะภาษาอังกฤษตามมาตรฐานที่กำหนด </t>
    </r>
  </si>
  <si>
    <r>
      <t xml:space="preserve">ตัวชี้วัดที่ 11 </t>
    </r>
    <r>
      <rPr>
        <sz val="14"/>
        <color theme="1"/>
        <rFont val="TH SarabunPSK"/>
        <family val="2"/>
      </rPr>
      <t xml:space="preserve">: ร้อยละของนักศึกษาชั้นปีสุดท้ายที่สอบผ่านทักษะเทคโนโลยีสารสนเทศตามมาตรฐานที่กำหนด </t>
    </r>
  </si>
  <si>
    <r>
      <t xml:space="preserve">ตัวชี้วัดที่ 12 </t>
    </r>
    <r>
      <rPr>
        <sz val="14"/>
        <color theme="1"/>
        <rFont val="TH SarabunPSK"/>
        <family val="2"/>
      </rPr>
      <t xml:space="preserve">: ร้อยละของบัณฑิตที่มีทักษะการทำงานในศตวรรษที่ 21 </t>
    </r>
  </si>
  <si>
    <r>
      <t xml:space="preserve">ตัวชี้วัดที่ 13 </t>
    </r>
    <r>
      <rPr>
        <sz val="14"/>
        <color theme="1"/>
        <rFont val="TH SarabunPSK"/>
        <family val="2"/>
      </rPr>
      <t xml:space="preserve">: จำนวนนักศึกษาคงอยู่ </t>
    </r>
  </si>
  <si>
    <r>
      <t xml:space="preserve">ตัวชี้วัดที่ 14 </t>
    </r>
    <r>
      <rPr>
        <sz val="14"/>
        <color theme="1"/>
        <rFont val="TH SarabunPSK"/>
        <family val="2"/>
      </rPr>
      <t xml:space="preserve">: จำนวนหลักสูตรที่เป็นที่ต้องการของผู้เรียน ทันสมัย ตอบสนองการพัฒนาท้องถิ่น และประเทศ </t>
    </r>
  </si>
  <si>
    <r>
      <t xml:space="preserve">ตัวชี้วัดที่ 15 </t>
    </r>
    <r>
      <rPr>
        <sz val="14"/>
        <color theme="1"/>
        <rFont val="TH SarabunPSK"/>
        <family val="2"/>
      </rPr>
      <t xml:space="preserve">: ร้อยละของหลักสูตรที่มีจำนวนนักศึกษา ไม่น้อยกว่าร้อยละ 80 ของแผนการรับนักศึกษา </t>
    </r>
  </si>
  <si>
    <r>
      <t xml:space="preserve">ตัวชี้วัดที่ 16 </t>
    </r>
    <r>
      <rPr>
        <sz val="14"/>
        <color theme="1"/>
        <rFont val="TH SarabunPSK"/>
        <family val="2"/>
      </rPr>
      <t xml:space="preserve">: ร้อยละของหลักสูตรที่ได้รับการขึ้นทะเบียน TQR หรือหน่วยงานที่ได้รับการรับรองจากหน่วยงานรับรองมาตรฐานที่ได้รับการยอมรับ จาก สกอ. </t>
    </r>
  </si>
  <si>
    <r>
      <t xml:space="preserve">ตัวชี้วัดที่ 17 </t>
    </r>
    <r>
      <rPr>
        <sz val="14"/>
        <color theme="1"/>
        <rFont val="TH SarabunPSK"/>
        <family val="2"/>
      </rPr>
      <t xml:space="preserve">: จำนวนหลักสูตร EP หรือ IP </t>
    </r>
  </si>
  <si>
    <r>
      <t xml:space="preserve">ตัวชี้วัดที่ 18 </t>
    </r>
    <r>
      <rPr>
        <sz val="14"/>
        <color theme="1"/>
        <rFont val="TH SarabunPSK"/>
        <family val="2"/>
      </rPr>
      <t xml:space="preserve">: จำนวนหลักสูตรสำหรับผู้สูงวัย </t>
    </r>
  </si>
  <si>
    <r>
      <t xml:space="preserve">ตัวชี้วัดที่ 19 </t>
    </r>
    <r>
      <rPr>
        <sz val="14"/>
        <color theme="1"/>
        <rFont val="TH SarabunPSK"/>
        <family val="2"/>
      </rPr>
      <t xml:space="preserve">: จำนวนสาขาที่เป็นศูนย์ความเป็นเลิศในการผลิตครู </t>
    </r>
  </si>
  <si>
    <r>
      <t xml:space="preserve">ตัวชี้วัดที่ 20 </t>
    </r>
    <r>
      <rPr>
        <sz val="14"/>
        <color theme="1"/>
        <rFont val="TH SarabunPSK"/>
        <family val="2"/>
      </rPr>
      <t xml:space="preserve">: ร้อยละของนักศึกษาครูที่สอบผ่านภาษาอังกฤษตามเกณฑ์ที่ได้รับการยอมรับจาก สกอ.ต่อนักศึกษาครูทั้งหมด เพื่อที่จะเข้าสู่การผลิตครูระบบปิด </t>
    </r>
  </si>
  <si>
    <r>
      <t xml:space="preserve">ตัวชี้วัดที่ 21 </t>
    </r>
    <r>
      <rPr>
        <sz val="14"/>
        <color theme="1"/>
        <rFont val="TH SarabunPSK"/>
        <family val="2"/>
      </rPr>
      <t xml:space="preserve">: ร้อยละของบัณฑิตที่ประกอบอาชีพครูหรือบุคลากรทางการศึกษา ต่อบัณฑิตครูที่สำเร็จในแต่ละปีการศึกษา </t>
    </r>
  </si>
  <si>
    <r>
      <t xml:space="preserve">ตัวชี้วัดที่ 22 </t>
    </r>
    <r>
      <rPr>
        <sz val="14"/>
        <color theme="1"/>
        <rFont val="TH SarabunPSK"/>
        <family val="2"/>
      </rPr>
      <t xml:space="preserve">: จำนวนหลักสูตรสอดคล้องตามยุทธศาสตร์ใหม่มหาวิทยาลัยราชภัฏ เพื่อการพัฒนาท้องถิ่นตามพระบรมราโชบาย </t>
    </r>
  </si>
  <si>
    <r>
      <t xml:space="preserve">ตัวชี้วัดที่ 23 </t>
    </r>
    <r>
      <rPr>
        <sz val="14"/>
        <color theme="1"/>
        <rFont val="TH SarabunPSK"/>
        <family val="2"/>
      </rPr>
      <t xml:space="preserve">: ร้อยละหลักสูตรระดับปริญญาตรีที่มีการจัดการเรียนการสอนโดยบูรณาการกับการวิจัย บริการวิชาการ และศิลปวัฒนธรรม </t>
    </r>
  </si>
  <si>
    <r>
      <t xml:space="preserve">ตัวชี้วัดที่ 1 </t>
    </r>
    <r>
      <rPr>
        <sz val="14"/>
        <color theme="1"/>
        <rFont val="TH SarabunPSK"/>
        <family val="2"/>
      </rPr>
      <t xml:space="preserve">: จำนวนโครงการวิจัยเพื่อการถ่ายทอดเทคโนโลยี การแก้ไขปัญหา หรือการพัฒนาชุมชนท้องถิ่นต่อปี </t>
    </r>
  </si>
  <si>
    <r>
      <t xml:space="preserve">ตัวชี้วัดที่ 2 </t>
    </r>
    <r>
      <rPr>
        <sz val="14"/>
        <color theme="1"/>
        <rFont val="TH SarabunPSK"/>
        <family val="2"/>
      </rPr>
      <t xml:space="preserve">: ร้อยละของอาจารย์ที่เป็นนักวิจัยเชิงพื้นที่มืออาชีพต่อจำนวนอาจารย์ </t>
    </r>
  </si>
  <si>
    <r>
      <t xml:space="preserve">ตัวชี้วัดที่ 3 </t>
    </r>
    <r>
      <rPr>
        <sz val="14"/>
        <color theme="1"/>
        <rFont val="TH SarabunPSK"/>
        <family val="2"/>
      </rPr>
      <t xml:space="preserve">: ร้อยละของการตีพิมพ์เผยแพร่ผลงานวิจัยในระดับชาติหรือนานาชาติ </t>
    </r>
  </si>
  <si>
    <r>
      <t xml:space="preserve">ตัวชี้วัดที่ 4 </t>
    </r>
    <r>
      <rPr>
        <sz val="14"/>
        <color theme="1"/>
        <rFont val="TH SarabunPSK"/>
        <family val="2"/>
      </rPr>
      <t xml:space="preserve">: จำนวนงานวิจัยและนวัตกรรมที่จดทะเบียนทรัพย์สินทางปัญญา หรือนำไปใช้ประโยชน์เชิงพาณิชย์ </t>
    </r>
  </si>
  <si>
    <r>
      <t xml:space="preserve">ตัวชี้วัดที่ 5 </t>
    </r>
    <r>
      <rPr>
        <sz val="14"/>
        <color theme="1"/>
        <rFont val="TH SarabunPSK"/>
        <family val="2"/>
      </rPr>
      <t xml:space="preserve">: จำนวนงานวิจัยที่ได้รับรางวัลในระดับชาติ </t>
    </r>
  </si>
  <si>
    <r>
      <t xml:space="preserve">ตัวชี้วัดที่ 6 </t>
    </r>
    <r>
      <rPr>
        <sz val="14"/>
        <color theme="1"/>
        <rFont val="TH SarabunPSK"/>
        <family val="2"/>
      </rPr>
      <t xml:space="preserve">: จำนวนศูนย์ความเป็นเลิศด้านการวิจัย“ลำปาง 4.0” ที่ได้รับการยอมรับ และได้รับรางวัลในระดับประเทศ </t>
    </r>
  </si>
  <si>
    <r>
      <t xml:space="preserve">ตัวชี้วัดที่ 1 </t>
    </r>
    <r>
      <rPr>
        <sz val="14"/>
        <color theme="1"/>
        <rFont val="TH SarabunPSK"/>
        <family val="2"/>
      </rPr>
      <t xml:space="preserve">: จำนวนชุมชนเป้าหมายที่มีการพัฒนาอย่างต่อเนื่องและยั่งยืน </t>
    </r>
  </si>
  <si>
    <r>
      <t xml:space="preserve">ตัวชี้วัดที่ 2 </t>
    </r>
    <r>
      <rPr>
        <sz val="14"/>
        <color theme="1"/>
        <rFont val="TH SarabunPSK"/>
        <family val="2"/>
      </rPr>
      <t xml:space="preserve">: จำนวนแหล่งเรียนรู้ด้านเศรษฐกิจ สังคม และทรัพยากรธรรมชาติ ที่ให้บริการแก่ ชุมชน ท้องถิ่น </t>
    </r>
  </si>
  <si>
    <r>
      <t xml:space="preserve">ตัวชี้วัดที่ 3 </t>
    </r>
    <r>
      <rPr>
        <sz val="14"/>
        <color theme="1"/>
        <rFont val="TH SarabunPSK"/>
        <family val="2"/>
      </rPr>
      <t xml:space="preserve">: จำนวนหลักสูตรการอบรมและศึกษาต่อเนื่อง </t>
    </r>
  </si>
  <si>
    <r>
      <t xml:space="preserve">ตัวชี้วัดที่ 4 </t>
    </r>
    <r>
      <rPr>
        <sz val="14"/>
        <color theme="1"/>
        <rFont val="TH SarabunPSK"/>
        <family val="2"/>
      </rPr>
      <t xml:space="preserve">: จำนวนนักเรียนในโรงเรียนสาธิต </t>
    </r>
  </si>
  <si>
    <r>
      <t xml:space="preserve">ตัวชี้วัดที่ 5 </t>
    </r>
    <r>
      <rPr>
        <sz val="14"/>
        <color theme="1"/>
        <rFont val="TH SarabunPSK"/>
        <family val="2"/>
      </rPr>
      <t xml:space="preserve">: จำนวนโครงการส่งเสริมสืบสานโครงการอันเนื่องมาจากพระราชดำริที่ดำเนินการอย่างต่อเนื่อง </t>
    </r>
  </si>
  <si>
    <r>
      <t xml:space="preserve">ตัวชี้วัดที่ 6 </t>
    </r>
    <r>
      <rPr>
        <sz val="14"/>
        <color theme="1"/>
        <rFont val="TH SarabunPSK"/>
        <family val="2"/>
      </rPr>
      <t xml:space="preserve">: สัดส่วนรายได้จากการบริการวิชาการต่อเงินรายได้ </t>
    </r>
  </si>
  <si>
    <r>
      <t xml:space="preserve">ตัวชี้วัดที่ 1 </t>
    </r>
    <r>
      <rPr>
        <sz val="14"/>
        <color theme="1"/>
        <rFont val="TH SarabunPSK"/>
        <family val="2"/>
      </rPr>
      <t xml:space="preserve">: ร้อยละของนักศึกษาที่เรียนหรือเข้าร่วมกิจกรรมหรือมีส่วนในการอนุรักษ์และสืบสานวัฒนธรรมของจังหวัดลำปาง </t>
    </r>
  </si>
  <si>
    <r>
      <t xml:space="preserve">ตัวชี้วัดที่ 2 </t>
    </r>
    <r>
      <rPr>
        <sz val="14"/>
        <color theme="1"/>
        <rFont val="TH SarabunPSK"/>
        <family val="2"/>
      </rPr>
      <t xml:space="preserve">: จำนวนฐานข้อมูลด้านศิลปวัฒนธรรมล้านนาลำปาง </t>
    </r>
  </si>
  <si>
    <r>
      <t xml:space="preserve">ตัวชี้วัดที่ 3 </t>
    </r>
    <r>
      <rPr>
        <sz val="14"/>
        <color theme="1"/>
        <rFont val="TH SarabunPSK"/>
        <family val="2"/>
      </rPr>
      <t xml:space="preserve">: จำนวนบุคคลภายนอกที่เข้ามาเยี่ยมชม ศึกษาศิลปวัฒนธรรมและภูมิปัญญาท้องถิ่น ณ สำนักศิลปะและวัฒนธรรม </t>
    </r>
  </si>
  <si>
    <r>
      <t xml:space="preserve">ตัวชี้วัดที่ 4 </t>
    </r>
    <r>
      <rPr>
        <sz val="14"/>
        <color theme="1"/>
        <rFont val="TH SarabunPSK"/>
        <family val="2"/>
      </rPr>
      <t xml:space="preserve">: จำนวนผลิตภัณฑ์เซรามิกส์ที่สะท้อนเอกลักษณ์และศิลปะและวัฒนธรรมล้านนา </t>
    </r>
  </si>
  <si>
    <r>
      <t xml:space="preserve">ตัวชี้วัดที่ 5 </t>
    </r>
    <r>
      <rPr>
        <sz val="14"/>
        <color theme="1"/>
        <rFont val="TH SarabunPSK"/>
        <family val="2"/>
      </rPr>
      <t xml:space="preserve">: จำนวนแหล่งวัฒนธรรมในพื้นที่จังหวัดลำปางที่มหาวิทยาลัยเข้าไปมีส่วนร่วมในการผลักดันให้เป็นแหล่งมรดกโลก </t>
    </r>
  </si>
  <si>
    <r>
      <t xml:space="preserve">ตัวชี้วัดที่ 1 </t>
    </r>
    <r>
      <rPr>
        <sz val="14"/>
        <color theme="1"/>
        <rFont val="TH SarabunPSK"/>
        <family val="2"/>
      </rPr>
      <t xml:space="preserve">: คะแนนผลประเมินมหาวิทยาลัยโดยคณะกรรมการประเมินมหาวิทยาลัย </t>
    </r>
  </si>
  <si>
    <r>
      <t xml:space="preserve">ตัวชี้วัดที่ 2 </t>
    </r>
    <r>
      <rPr>
        <sz val="14"/>
        <color theme="1"/>
        <rFont val="TH SarabunPSK"/>
        <family val="2"/>
      </rPr>
      <t xml:space="preserve">: ร้อยละของบุคลากรที่ได้รับการอบรมพัฒนาตามตำแหน่งในแต่ละปี </t>
    </r>
  </si>
  <si>
    <r>
      <t xml:space="preserve">ตัวชี้วัดที่ 3 </t>
    </r>
    <r>
      <rPr>
        <sz val="14"/>
        <color theme="1"/>
        <rFont val="TH SarabunPSK"/>
        <family val="2"/>
      </rPr>
      <t xml:space="preserve">: ร้อยละอาจารย์ที่มีคุณวุฒิปริญญาเอก </t>
    </r>
  </si>
  <si>
    <r>
      <t xml:space="preserve">ตัวชี้วัดที่ 4 </t>
    </r>
    <r>
      <rPr>
        <sz val="14"/>
        <color theme="1"/>
        <rFont val="TH SarabunPSK"/>
        <family val="2"/>
      </rPr>
      <t xml:space="preserve">: ร้อยละอาจารย์ที่มีตำแหน่งวิชาการ </t>
    </r>
  </si>
  <si>
    <r>
      <t xml:space="preserve">ตัวชี้วัดที่ 5 </t>
    </r>
    <r>
      <rPr>
        <sz val="14"/>
        <color theme="1"/>
        <rFont val="TH SarabunPSK"/>
        <family val="2"/>
      </rPr>
      <t xml:space="preserve">: ร้อยละอาจารย์ที่สอบผ่านทักษะภาษาอังกฤษตามมาตรฐานที่กำหนด </t>
    </r>
  </si>
  <si>
    <r>
      <t xml:space="preserve">ตัวชี้วัดที่ 7 </t>
    </r>
    <r>
      <rPr>
        <sz val="14"/>
        <color theme="1"/>
        <rFont val="TH SarabunPSK"/>
        <family val="2"/>
      </rPr>
      <t xml:space="preserve">: ร้อยละสายสนับสนุนที่ดำรงตำแหน่งชำนาญการพิเศษตามกรอบของตำแหน่ง </t>
    </r>
  </si>
  <si>
    <r>
      <t xml:space="preserve">ตัวชี้วัดที่ 8 </t>
    </r>
    <r>
      <rPr>
        <sz val="14"/>
        <color theme="1"/>
        <rFont val="TH SarabunPSK"/>
        <family val="2"/>
      </rPr>
      <t xml:space="preserve">: ร้อยละของนักศึกษาเกียรตินิยมอันดับ 1 ที่ได้รับทุนการศึกษาต่อระดับปริญญาโท ปริญญาเอก </t>
    </r>
  </si>
  <si>
    <r>
      <t xml:space="preserve">ตัวชี้วัดที่ 9 </t>
    </r>
    <r>
      <rPr>
        <sz val="14"/>
        <color theme="1"/>
        <rFont val="TH SarabunPSK"/>
        <family val="2"/>
      </rPr>
      <t xml:space="preserve">: ร้อยละบุคลากรที่สร้างผลงานเป็นที่ยอมรับและมีชื่อเสียงในระดับชาติหรือนานาชาติ </t>
    </r>
  </si>
  <si>
    <r>
      <t xml:space="preserve">ตัวชี้วัดที่ 10 </t>
    </r>
    <r>
      <rPr>
        <sz val="14"/>
        <color theme="1"/>
        <rFont val="TH SarabunPSK"/>
        <family val="2"/>
      </rPr>
      <t xml:space="preserve">: ร้อยละหน่วยงานที่มีระบบการจัดการความรู้ที่ผ่านเกณฑ์การประเมินคุณภาพ </t>
    </r>
  </si>
  <si>
    <r>
      <t xml:space="preserve">ตัวชี้วัดที่ 11 </t>
    </r>
    <r>
      <rPr>
        <sz val="14"/>
        <color theme="1"/>
        <rFont val="TH SarabunPSK"/>
        <family val="2"/>
      </rPr>
      <t xml:space="preserve">: ร้อยละของการใช้ระบบเทคโนโลยีสารสนเทศในทุกระบบงาน </t>
    </r>
  </si>
  <si>
    <r>
      <t xml:space="preserve">ตัวชี้วัดที่ 12 </t>
    </r>
    <r>
      <rPr>
        <sz val="14"/>
        <color theme="1"/>
        <rFont val="TH SarabunPSK"/>
        <family val="2"/>
      </rPr>
      <t xml:space="preserve">: ร้อยละความพึงพอใจด้านการบริหารจัดการ ด้านอาคารสถานที่ ของบุคลากร และผู้รับบริการ </t>
    </r>
  </si>
  <si>
    <r>
      <t xml:space="preserve">ตัวชี้วัดที่ 13 </t>
    </r>
    <r>
      <rPr>
        <sz val="14"/>
        <color theme="1"/>
        <rFont val="TH SarabunPSK"/>
        <family val="2"/>
      </rPr>
      <t xml:space="preserve">: คะแนนผลการประเมินคุณภาพการศึกษาภายในระดับคณะและมหาวิทยาลัย </t>
    </r>
  </si>
  <si>
    <r>
      <t xml:space="preserve">ตัวชี้วัดที่ 14 </t>
    </r>
    <r>
      <rPr>
        <sz val="14"/>
        <color theme="1"/>
        <rFont val="TH SarabunPSK"/>
        <family val="2"/>
      </rPr>
      <t xml:space="preserve">: คะแนนผลการประเมินของ กพร </t>
    </r>
  </si>
  <si>
    <r>
      <t xml:space="preserve">ตัวชี้วัดที่ 1 </t>
    </r>
    <r>
      <rPr>
        <sz val="14"/>
        <color theme="1"/>
        <rFont val="TH SarabunPSK"/>
        <family val="2"/>
      </rPr>
      <t xml:space="preserve">: ร้อยละการเพิ่มขึ้นของเงินรายได้การบริหารสินทรัพย์เทียบกับปีที่ผ่านมา </t>
    </r>
  </si>
  <si>
    <r>
      <t xml:space="preserve">ตัวชี้วัดที่ 2 </t>
    </r>
    <r>
      <rPr>
        <sz val="14"/>
        <color theme="1"/>
        <rFont val="TH SarabunPSK"/>
        <family val="2"/>
      </rPr>
      <t xml:space="preserve">: จำนวนเงินรายได้คงคลัง </t>
    </r>
  </si>
  <si>
    <t>ผลสำเร็จ</t>
  </si>
  <si>
    <t>สถานะความสำเร็จ</t>
  </si>
  <si>
    <t>&gt;8,000</t>
  </si>
  <si>
    <t>100%            99-81%            80-61%              60-41%              40-21%                 20-0%</t>
  </si>
  <si>
    <t>       ผลการเบิกจ่ายงบประมาณทั้งหมด ร้อยละ 90.05 เปรียบเทียบกับแผนที่กำหนด ที่ร้อยละ 100.00 พบว่าต่ำกว่าแผนที่กำหนด ส่วนผลการเบิกจ่ายงบประมาณแผ่นดินภาพรวม ร้อยละ 92.79 เปรียบเทียบกับเป้าหมายที่รัฐบาลกำหนดที่ร้อยละ  100.00 พบว่ายังต่ำกว่าเป้าหมายที่กำหนด และผลการเบิกจ่ายงบประมาณแผ่นดิน งบลงทุนเท่ากับร้อยละ 75.14 เบิกจ่ายต่ำกว่าเป้าหมายที่รัฐบาล  กำหนดร้อยละ 100.00</t>
  </si>
  <si>
    <t xml:space="preserve">       หน่วยงานที่เบิกจ่ายงบประมาณได้สูงสุด 5 ลำดับแรก คือ 1.คณะวิทยาการจัดการ   เบิกจ่ายร้อยละ 99.64 2.คณะครุศาสตร์ เบิกจ่ายร้อยละ 99.17 3.คณะเทคโนโลยีอุตสาหกรรม เบิกจ่ายร้อยละ 98.82 4.สำนักศิลปะและวัฒนธรรม เบิกจ่ายร้อยละ 98.80 5.สำนักวิทยบริการและเทคโนโลยีสารสนเทศ เบิกจ่ายร้อยละ 98.57</t>
  </si>
  <si>
    <t>อาคารครุศาสตร์และมนุษยศาสตร์และสังคมศาสตร์ เบิกจ่ายจริงถึงงวดที่ 26 และมีการส่งมอบงานแล้วถึงงวดที่ 32 เบิกจ่ายงบประมาณไปแล้วทั้งสิ้น 207,386,400.00 บาท ค้างจ่าย 119,103,600 บาท</t>
  </si>
  <si>
    <t xml:space="preserve">        ณ สิ้นไตรมาสที่ 4 มีผลการเบิกจ่ายงบประมาณทั้งสิ้น  539,018,508.62 บาท(ร้อยละ 90.05) เป็นเงินงบประมาณแผ่นดิน จำนวน 452,265,806.58 บาท (ร้อยละ 92.79) และเงินรายได้ จำนวน 86,752,702.04 บาท (ร้อยละ 78.04)</t>
  </si>
  <si>
    <t xml:space="preserve">        ตามแผนปฏิบัติงานประจำปีงบประมาณ พ.ศ.2562 มหาวิทยาลัยราชภัฏลำปาง มีงบประมาณจัดสรรทั้งสิ้น 598,600,377.64  บาท เป็นงบประมาณแผ่นดิน จำนวน 487,433,270.64 บาท(ร้อยละ 81.31) งบเงินรายได้ จำนวน 111,167,107.00  บาท (ร้อยละ 18.69)</t>
  </si>
  <si>
    <t xml:space="preserve">       การเบิกจ่ายตามประเด็นกลยุทธ์ เรียงลำดับจากน้อยไปหามากดังนี้ 1.ประเด็นกลยุทธ์ที่ 6 การบริหารทรัพย์สินและสร้างรายได้แก่องค์กร  เบิกจ่ายร้อยละ 69.63 2.ประเด็นกลยุทธ์ที่ 3 การบริการวิชาการเพื่อสร้างความเข้มแข็งแก่ชุมชนท้องถิ่น  เบิกจ่ายร้อยละ 81.11  3.ประเด็นกลยุทธ์ที่ 5 การบริหารและพัฒนาองค์กรแห่งการเรียนรู้  เบิกจ่ายร้อยละ 84.15 4.ประเด็นกลยุทธ์ที่ 1 การผลิตบัณฑิตที่มีคุณภาพตอบสนองกลุ่มผู้เรียนที่หลากหลาย  เบิกจ่ายร้อยละ 94.45  5.ประเด็นกลยุทธ์ที่ 4 การทำนุบำรุงศิลปวัฒนธรรมและภูมิปัญญาท้องถิ่นให้ยั่งยืน เบิกจ่ายร้อยละ 95.45 6.ประเด็นกลยุทธ์ที่ 2 การวิจัยพัฒนาและแก้ปัญหาชุมชนท้องถิ่นอย่างมีคุณภาพ  เบิกจ่ายร้อยละ 97.84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</si>
</sst>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87" formatCode="_(* #,##0.00_);_(* \(#,##0.00\);_(* &quot;-&quot;??_);_(@_)"/>
    <numFmt numFmtId="188" formatCode="_-* #,##0_-;\-* #,##0_-;_-* &quot;-&quot;??_-;_-@_-"/>
    <numFmt numFmtId="189" formatCode="#,##0.00_ ;\-#,##0.00\ "/>
  </numFmts>
  <fonts count="77">
    <font>
      <sz val="11"/>
      <color theme="1"/>
      <name val="Tahoma"/>
      <family val="2"/>
      <charset val="222"/>
      <scheme val="minor"/>
    </font>
    <font>
      <sz val="11"/>
      <color theme="1"/>
      <name val="Tahoma"/>
      <family val="2"/>
      <charset val="222"/>
      <scheme val="minor"/>
    </font>
    <font>
      <b/>
      <sz val="18"/>
      <color theme="3"/>
      <name val="Tahoma"/>
      <family val="2"/>
      <charset val="222"/>
      <scheme val="major"/>
    </font>
    <font>
      <b/>
      <sz val="15"/>
      <color theme="3"/>
      <name val="Tahoma"/>
      <family val="2"/>
      <charset val="222"/>
      <scheme val="minor"/>
    </font>
    <font>
      <b/>
      <sz val="13"/>
      <color theme="3"/>
      <name val="Tahoma"/>
      <family val="2"/>
      <charset val="222"/>
      <scheme val="minor"/>
    </font>
    <font>
      <b/>
      <sz val="11"/>
      <color theme="3"/>
      <name val="Tahoma"/>
      <family val="2"/>
      <charset val="222"/>
      <scheme val="minor"/>
    </font>
    <font>
      <sz val="11"/>
      <color rgb="FF006100"/>
      <name val="Tahoma"/>
      <family val="2"/>
      <charset val="222"/>
      <scheme val="minor"/>
    </font>
    <font>
      <sz val="11"/>
      <color rgb="FF9C0006"/>
      <name val="Tahoma"/>
      <family val="2"/>
      <charset val="222"/>
      <scheme val="minor"/>
    </font>
    <font>
      <sz val="11"/>
      <color rgb="FF9C6500"/>
      <name val="Tahoma"/>
      <family val="2"/>
      <charset val="222"/>
      <scheme val="minor"/>
    </font>
    <font>
      <sz val="11"/>
      <color rgb="FF3F3F76"/>
      <name val="Tahoma"/>
      <family val="2"/>
      <charset val="222"/>
      <scheme val="minor"/>
    </font>
    <font>
      <b/>
      <sz val="11"/>
      <color rgb="FF3F3F3F"/>
      <name val="Tahoma"/>
      <family val="2"/>
      <charset val="222"/>
      <scheme val="minor"/>
    </font>
    <font>
      <b/>
      <sz val="11"/>
      <color rgb="FFFA7D00"/>
      <name val="Tahoma"/>
      <family val="2"/>
      <charset val="222"/>
      <scheme val="minor"/>
    </font>
    <font>
      <sz val="11"/>
      <color rgb="FFFA7D00"/>
      <name val="Tahoma"/>
      <family val="2"/>
      <charset val="222"/>
      <scheme val="minor"/>
    </font>
    <font>
      <b/>
      <sz val="11"/>
      <color theme="0"/>
      <name val="Tahoma"/>
      <family val="2"/>
      <charset val="222"/>
      <scheme val="minor"/>
    </font>
    <font>
      <sz val="11"/>
      <color rgb="FFFF0000"/>
      <name val="Tahoma"/>
      <family val="2"/>
      <charset val="222"/>
      <scheme val="minor"/>
    </font>
    <font>
      <i/>
      <sz val="11"/>
      <color rgb="FF7F7F7F"/>
      <name val="Tahoma"/>
      <family val="2"/>
      <charset val="222"/>
      <scheme val="minor"/>
    </font>
    <font>
      <b/>
      <sz val="11"/>
      <color theme="1"/>
      <name val="Tahoma"/>
      <family val="2"/>
      <charset val="222"/>
      <scheme val="minor"/>
    </font>
    <font>
      <sz val="11"/>
      <color theme="0"/>
      <name val="Tahoma"/>
      <family val="2"/>
      <charset val="222"/>
      <scheme val="minor"/>
    </font>
    <font>
      <sz val="11"/>
      <color theme="1"/>
      <name val="TH SarabunPSK"/>
      <family val="2"/>
    </font>
    <font>
      <b/>
      <sz val="10"/>
      <color theme="1"/>
      <name val="TH SarabunPSK"/>
      <family val="2"/>
    </font>
    <font>
      <b/>
      <sz val="14"/>
      <color theme="1"/>
      <name val="TH SarabunPSK"/>
      <family val="2"/>
    </font>
    <font>
      <sz val="14"/>
      <color theme="1"/>
      <name val="TH SarabunPSK"/>
      <family val="2"/>
    </font>
    <font>
      <b/>
      <sz val="16"/>
      <color theme="1"/>
      <name val="TH SarabunPSK"/>
      <family val="2"/>
    </font>
    <font>
      <b/>
      <sz val="12"/>
      <color theme="1"/>
      <name val="TH SarabunPSK"/>
      <family val="2"/>
    </font>
    <font>
      <sz val="16"/>
      <color theme="1"/>
      <name val="TH SarabunPSK"/>
      <family val="2"/>
    </font>
    <font>
      <b/>
      <sz val="20"/>
      <color rgb="FF000000"/>
      <name val="TH SarabunPSK"/>
      <family val="2"/>
    </font>
    <font>
      <sz val="20"/>
      <color rgb="FF000000"/>
      <name val="TH SarabunPSK"/>
      <family val="2"/>
    </font>
    <font>
      <sz val="16"/>
      <color rgb="FF000000"/>
      <name val="TH SarabunPSK"/>
      <family val="2"/>
    </font>
    <font>
      <sz val="18"/>
      <color rgb="FF000000"/>
      <name val="TH SarabunPSK"/>
      <family val="2"/>
    </font>
    <font>
      <b/>
      <sz val="23"/>
      <color rgb="FF000000"/>
      <name val="TH SarabunPSK"/>
      <family val="2"/>
    </font>
    <font>
      <b/>
      <sz val="23"/>
      <color theme="1"/>
      <name val="TH SarabunPSK"/>
      <family val="2"/>
    </font>
    <font>
      <sz val="10"/>
      <name val="Arial"/>
      <family val="2"/>
    </font>
    <font>
      <sz val="14"/>
      <color theme="0"/>
      <name val="TH SarabunPSK"/>
      <family val="2"/>
    </font>
    <font>
      <b/>
      <sz val="14"/>
      <color theme="0"/>
      <name val="TH SarabunPSK"/>
      <family val="2"/>
    </font>
    <font>
      <sz val="15"/>
      <color rgb="FF000000"/>
      <name val="TH SarabunPSK"/>
      <family val="2"/>
    </font>
    <font>
      <sz val="14"/>
      <color rgb="FF000000"/>
      <name val="TH SarabunPSK"/>
      <family val="2"/>
    </font>
    <font>
      <b/>
      <sz val="14"/>
      <color rgb="FF000000"/>
      <name val="TH SarabunPSK"/>
      <family val="2"/>
    </font>
    <font>
      <sz val="14"/>
      <color theme="1"/>
      <name val="Tahoma"/>
      <family val="2"/>
      <charset val="222"/>
      <scheme val="minor"/>
    </font>
    <font>
      <sz val="12"/>
      <color rgb="FF000000"/>
      <name val="TH SarabunPSK"/>
      <family val="2"/>
    </font>
    <font>
      <b/>
      <sz val="12"/>
      <color rgb="FF000000"/>
      <name val="TH SarabunPSK"/>
      <family val="2"/>
    </font>
    <font>
      <b/>
      <sz val="18"/>
      <color theme="1"/>
      <name val="TH SarabunPSK"/>
      <family val="2"/>
    </font>
    <font>
      <b/>
      <sz val="14"/>
      <name val="TH SarabunPSK"/>
      <family val="2"/>
    </font>
    <font>
      <sz val="14"/>
      <name val="TH SarabunPSK"/>
      <family val="2"/>
    </font>
    <font>
      <b/>
      <sz val="25"/>
      <color theme="0"/>
      <name val="TH SarabunPSK"/>
      <family val="2"/>
    </font>
    <font>
      <b/>
      <sz val="15"/>
      <color rgb="FF000000"/>
      <name val="TH SarabunPSK"/>
      <family val="2"/>
    </font>
    <font>
      <b/>
      <sz val="16"/>
      <color rgb="FF000000"/>
      <name val="TH SarabunPSK"/>
      <family val="2"/>
    </font>
    <font>
      <i/>
      <sz val="14"/>
      <name val="TH SarabunPSK"/>
      <family val="2"/>
    </font>
    <font>
      <sz val="10"/>
      <color rgb="FF000000"/>
      <name val="MS"/>
    </font>
    <font>
      <sz val="7.5"/>
      <color theme="1"/>
      <name val="MS"/>
    </font>
    <font>
      <sz val="7.5"/>
      <color rgb="FFFF0000"/>
      <name val="MS"/>
    </font>
    <font>
      <b/>
      <sz val="7.5"/>
      <color theme="1"/>
      <name val="MS"/>
    </font>
    <font>
      <u/>
      <sz val="11"/>
      <color theme="10"/>
      <name val="Tahoma"/>
      <family val="2"/>
      <charset val="222"/>
    </font>
    <font>
      <sz val="11"/>
      <color theme="1"/>
      <name val="Times New Roman"/>
      <family val="1"/>
    </font>
    <font>
      <sz val="14"/>
      <color theme="0"/>
      <name val="Tahoma"/>
      <family val="2"/>
      <charset val="222"/>
      <scheme val="minor"/>
    </font>
    <font>
      <sz val="14"/>
      <color rgb="FFFF0000"/>
      <name val="TH SarabunPSK"/>
      <family val="2"/>
    </font>
    <font>
      <b/>
      <sz val="13"/>
      <color rgb="FF000000"/>
      <name val="TH SarabunPSK"/>
      <family val="2"/>
    </font>
    <font>
      <sz val="9"/>
      <color rgb="FF022B77"/>
      <name val="Tahoma"/>
      <family val="2"/>
      <scheme val="minor"/>
    </font>
    <font>
      <b/>
      <sz val="9"/>
      <color rgb="FF022B77"/>
      <name val="Tahoma"/>
      <family val="2"/>
      <scheme val="minor"/>
    </font>
    <font>
      <b/>
      <sz val="11"/>
      <color rgb="FF006600"/>
      <name val="Tahoma"/>
      <family val="2"/>
      <scheme val="minor"/>
    </font>
    <font>
      <b/>
      <sz val="14"/>
      <color theme="1"/>
      <name val="Tahoma"/>
      <family val="2"/>
      <charset val="222"/>
      <scheme val="minor"/>
    </font>
    <font>
      <b/>
      <sz val="14"/>
      <color theme="0"/>
      <name val="Tahoma"/>
      <family val="2"/>
      <charset val="222"/>
      <scheme val="minor"/>
    </font>
    <font>
      <b/>
      <sz val="16"/>
      <name val="TH SarabunPSK"/>
      <family val="2"/>
    </font>
    <font>
      <u/>
      <sz val="11"/>
      <color rgb="FFFF0000"/>
      <name val="Tahoma"/>
      <family val="2"/>
      <charset val="222"/>
    </font>
    <font>
      <sz val="14"/>
      <name val="Cordia New"/>
      <family val="2"/>
    </font>
    <font>
      <sz val="11"/>
      <color indexed="8"/>
      <name val="Tahoma"/>
      <family val="2"/>
      <charset val="222"/>
    </font>
    <font>
      <sz val="14"/>
      <name val="Tahoma"/>
      <family val="2"/>
      <charset val="222"/>
      <scheme val="minor"/>
    </font>
    <font>
      <sz val="11"/>
      <name val="TH SarabunPSK"/>
      <family val="2"/>
    </font>
    <font>
      <sz val="10"/>
      <name val="Arial"/>
      <family val="2"/>
    </font>
    <font>
      <sz val="16"/>
      <name val="TH SarabunPSK"/>
      <family val="2"/>
    </font>
    <font>
      <sz val="7.5"/>
      <color rgb="FFC00000"/>
      <name val="MS"/>
    </font>
    <font>
      <sz val="11"/>
      <color rgb="FFC00000"/>
      <name val="Tahoma"/>
      <family val="2"/>
      <charset val="222"/>
      <scheme val="minor"/>
    </font>
    <font>
      <b/>
      <sz val="14"/>
      <color rgb="FFFF0000"/>
      <name val="TH SarabunPSK"/>
      <family val="2"/>
    </font>
    <font>
      <u/>
      <sz val="11"/>
      <color rgb="FFC00000"/>
      <name val="Tahoma"/>
      <family val="2"/>
      <charset val="222"/>
      <scheme val="minor"/>
    </font>
    <font>
      <b/>
      <sz val="7.5"/>
      <color theme="1"/>
      <name val="MS"/>
      <charset val="222"/>
    </font>
    <font>
      <b/>
      <sz val="7.5"/>
      <color theme="3" tint="-0.249977111117893"/>
      <name val="MS"/>
      <charset val="222"/>
    </font>
    <font>
      <b/>
      <sz val="11"/>
      <color theme="3" tint="-0.249977111117893"/>
      <name val="Tahoma"/>
      <family val="2"/>
      <charset val="222"/>
      <scheme val="minor"/>
    </font>
    <font>
      <sz val="11"/>
      <color theme="1"/>
      <name val="Tahoma"/>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CCFF"/>
        <bgColor indexed="64"/>
      </patternFill>
    </fill>
    <fill>
      <patternFill patternType="solid">
        <fgColor rgb="FFCCCCFF"/>
        <bgColor indexed="64"/>
      </patternFill>
    </fill>
    <fill>
      <patternFill patternType="solid">
        <fgColor rgb="FFFFCCCC"/>
        <bgColor indexed="64"/>
      </patternFill>
    </fill>
    <fill>
      <patternFill patternType="solid">
        <fgColor rgb="FFFFFFFF"/>
        <bgColor indexed="64"/>
      </patternFill>
    </fill>
    <fill>
      <patternFill patternType="solid">
        <fgColor rgb="FFCCCCCC"/>
        <bgColor indexed="64"/>
      </patternFill>
    </fill>
    <fill>
      <patternFill patternType="solid">
        <fgColor rgb="FFECECEC"/>
        <bgColor indexed="64"/>
      </patternFill>
    </fill>
    <fill>
      <patternFill patternType="solid">
        <fgColor rgb="FFCCFFCC"/>
        <bgColor indexed="64"/>
      </patternFill>
    </fill>
    <fill>
      <patternFill patternType="solid">
        <fgColor rgb="FFFFFF99"/>
        <bgColor indexed="64"/>
      </patternFill>
    </fill>
    <fill>
      <patternFill patternType="solid">
        <fgColor rgb="FFD7D7D7"/>
        <bgColor indexed="64"/>
      </patternFill>
    </fill>
    <fill>
      <patternFill patternType="solid">
        <fgColor theme="0"/>
        <bgColor indexed="64"/>
      </patternFill>
    </fill>
    <fill>
      <patternFill patternType="solid">
        <fgColor rgb="FF55BFAA"/>
        <bgColor indexed="64"/>
      </patternFill>
    </fill>
    <fill>
      <patternFill patternType="solid">
        <fgColor rgb="FFD49FA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A95"/>
        <bgColor indexed="64"/>
      </patternFill>
    </fill>
    <fill>
      <patternFill patternType="solid">
        <fgColor rgb="FFFFFFF2"/>
        <bgColor indexed="64"/>
      </patternFill>
    </fill>
    <fill>
      <patternFill patternType="solid">
        <fgColor rgb="FF99CCFF"/>
        <bgColor indexed="64"/>
      </patternFill>
    </fill>
    <fill>
      <patternFill patternType="solid">
        <fgColor rgb="FFDFEFFF"/>
        <bgColor indexed="64"/>
      </patternFill>
    </fill>
    <fill>
      <patternFill patternType="solid">
        <fgColor rgb="FFFFDBCA"/>
        <bgColor indexed="64"/>
      </patternFill>
    </fill>
    <fill>
      <patternFill patternType="solid">
        <fgColor theme="5" tint="0.59999389629810485"/>
        <bgColor indexed="64"/>
      </patternFill>
    </fill>
    <fill>
      <patternFill patternType="solid">
        <fgColor indexed="9"/>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2F2F2"/>
        <bgColor indexed="64"/>
      </patternFill>
    </fill>
    <fill>
      <patternFill patternType="solid">
        <fgColor rgb="FFFCFCFC"/>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CCCCCC"/>
      </left>
      <right style="thin">
        <color rgb="FFCCCCCC"/>
      </right>
      <top style="thin">
        <color rgb="FFCCCCCC"/>
      </top>
      <bottom style="thin">
        <color rgb="FFCCCCCC"/>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rgb="FF000000"/>
      </right>
      <top style="thin">
        <color rgb="FF000000"/>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top style="medium">
        <color rgb="FFCCCCCC"/>
      </top>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xf numFmtId="0" fontId="31" fillId="0" borderId="0"/>
    <xf numFmtId="187" fontId="31" fillId="0" borderId="0" applyFont="0" applyFill="0" applyBorder="0" applyAlignment="0" applyProtection="0"/>
    <xf numFmtId="0" fontId="31" fillId="0" borderId="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0" fontId="51" fillId="0" borderId="0" applyNumberFormat="0" applyFill="0" applyBorder="0" applyAlignment="0" applyProtection="0">
      <alignment vertical="top"/>
      <protection locked="0"/>
    </xf>
    <xf numFmtId="187" fontId="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63" fillId="0" borderId="0"/>
    <xf numFmtId="0" fontId="64" fillId="0" borderId="0"/>
    <xf numFmtId="0" fontId="63"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31" fillId="0" borderId="0" applyFont="0" applyFill="0" applyBorder="0" applyAlignment="0" applyProtection="0"/>
  </cellStyleXfs>
  <cellXfs count="542">
    <xf numFmtId="0" fontId="0" fillId="0" borderId="0" xfId="0"/>
    <xf numFmtId="0" fontId="0" fillId="0" borderId="0" xfId="0" applyAlignment="1">
      <alignment horizontal="center"/>
    </xf>
    <xf numFmtId="0" fontId="26" fillId="0" borderId="0" xfId="0" applyFont="1"/>
    <xf numFmtId="0" fontId="25" fillId="0" borderId="0" xfId="0" applyFont="1"/>
    <xf numFmtId="0" fontId="25" fillId="0" borderId="0" xfId="0" applyFont="1" applyAlignment="1">
      <alignment horizontal="right"/>
    </xf>
    <xf numFmtId="0" fontId="27" fillId="0" borderId="0" xfId="0" applyFont="1"/>
    <xf numFmtId="0" fontId="28" fillId="0" borderId="0" xfId="0" applyFont="1"/>
    <xf numFmtId="0" fontId="27" fillId="0" borderId="0" xfId="0" applyFont="1" applyAlignment="1">
      <alignment vertical="center"/>
    </xf>
    <xf numFmtId="0" fontId="29" fillId="0" borderId="0" xfId="0" applyFont="1" applyAlignment="1">
      <alignment horizontal="center"/>
    </xf>
    <xf numFmtId="0" fontId="18" fillId="0" borderId="10" xfId="0" applyFont="1" applyBorder="1" applyAlignment="1"/>
    <xf numFmtId="0" fontId="32" fillId="43" borderId="0" xfId="0" applyFont="1" applyFill="1" applyAlignment="1">
      <alignment wrapText="1"/>
    </xf>
    <xf numFmtId="0" fontId="21" fillId="0" borderId="0" xfId="0" applyFont="1"/>
    <xf numFmtId="2" fontId="21" fillId="0" borderId="0" xfId="0" applyNumberFormat="1" applyFont="1"/>
    <xf numFmtId="0" fontId="24" fillId="0" borderId="0" xfId="0" applyFont="1"/>
    <xf numFmtId="0" fontId="24" fillId="0" borderId="0" xfId="0" applyFont="1" applyAlignment="1">
      <alignment wrapText="1"/>
    </xf>
    <xf numFmtId="2" fontId="0" fillId="0" borderId="0" xfId="0" applyNumberFormat="1"/>
    <xf numFmtId="0" fontId="41" fillId="0" borderId="0" xfId="42" applyFont="1"/>
    <xf numFmtId="0" fontId="42" fillId="0" borderId="0" xfId="42" applyFont="1"/>
    <xf numFmtId="4" fontId="36" fillId="33" borderId="10" xfId="0" applyNumberFormat="1" applyFont="1" applyFill="1" applyBorder="1" applyAlignment="1">
      <alignment horizontal="right" vertical="center" wrapText="1"/>
    </xf>
    <xf numFmtId="4" fontId="21" fillId="0" borderId="0" xfId="0" applyNumberFormat="1" applyFont="1"/>
    <xf numFmtId="4" fontId="35" fillId="33" borderId="10" xfId="0" applyNumberFormat="1" applyFont="1" applyFill="1" applyBorder="1" applyAlignment="1">
      <alignment horizontal="right" vertical="center" wrapText="1"/>
    </xf>
    <xf numFmtId="0" fontId="0" fillId="0" borderId="0" xfId="0" applyAlignment="1">
      <alignment wrapText="1"/>
    </xf>
    <xf numFmtId="0" fontId="0" fillId="0" borderId="0" xfId="0" applyAlignment="1"/>
    <xf numFmtId="0" fontId="0" fillId="0" borderId="0" xfId="0" applyFill="1" applyBorder="1" applyAlignment="1"/>
    <xf numFmtId="4" fontId="21" fillId="0" borderId="0" xfId="0" applyNumberFormat="1" applyFont="1" applyBorder="1" applyAlignment="1">
      <alignment vertical="center"/>
    </xf>
    <xf numFmtId="4" fontId="21" fillId="0" borderId="0" xfId="0" applyNumberFormat="1" applyFont="1" applyAlignment="1">
      <alignment vertical="center"/>
    </xf>
    <xf numFmtId="4" fontId="39" fillId="42" borderId="10" xfId="0" applyNumberFormat="1" applyFont="1" applyFill="1" applyBorder="1" applyAlignment="1">
      <alignment horizontal="right" vertical="top" wrapText="1"/>
    </xf>
    <xf numFmtId="4" fontId="22" fillId="0" borderId="0" xfId="0" applyNumberFormat="1" applyFont="1"/>
    <xf numFmtId="4" fontId="20" fillId="34" borderId="10" xfId="0" applyNumberFormat="1" applyFont="1" applyFill="1" applyBorder="1" applyAlignment="1">
      <alignment horizontal="center" vertical="center" wrapText="1"/>
    </xf>
    <xf numFmtId="4" fontId="22" fillId="0" borderId="0" xfId="0" applyNumberFormat="1" applyFont="1" applyBorder="1" applyAlignment="1">
      <alignment vertical="center"/>
    </xf>
    <xf numFmtId="0" fontId="38" fillId="38" borderId="0" xfId="0" applyFont="1" applyFill="1" applyAlignment="1">
      <alignment horizontal="right" wrapText="1"/>
    </xf>
    <xf numFmtId="0" fontId="39" fillId="44" borderId="0" xfId="0" applyFont="1" applyFill="1" applyAlignment="1">
      <alignment horizontal="right" wrapText="1"/>
    </xf>
    <xf numFmtId="0" fontId="34" fillId="0" borderId="0" xfId="0" applyFont="1" applyAlignment="1">
      <alignment wrapText="1"/>
    </xf>
    <xf numFmtId="4" fontId="34" fillId="0" borderId="0" xfId="0" applyNumberFormat="1" applyFont="1" applyAlignment="1">
      <alignment horizontal="right" wrapText="1"/>
    </xf>
    <xf numFmtId="0" fontId="24" fillId="0" borderId="0" xfId="0" applyFont="1" applyAlignment="1"/>
    <xf numFmtId="0" fontId="34" fillId="45" borderId="0" xfId="0" applyFont="1" applyFill="1" applyAlignment="1">
      <alignment horizontal="right" wrapText="1"/>
    </xf>
    <xf numFmtId="0" fontId="34" fillId="44" borderId="0" xfId="0" applyFont="1" applyFill="1" applyAlignment="1">
      <alignment horizontal="right" wrapText="1"/>
    </xf>
    <xf numFmtId="4" fontId="34" fillId="38" borderId="0" xfId="0" applyNumberFormat="1" applyFont="1" applyFill="1" applyAlignment="1">
      <alignment horizontal="right" wrapText="1"/>
    </xf>
    <xf numFmtId="0" fontId="34" fillId="38" borderId="0" xfId="0" applyFont="1" applyFill="1" applyAlignment="1">
      <alignment horizontal="right" wrapText="1"/>
    </xf>
    <xf numFmtId="0" fontId="44" fillId="0" borderId="0" xfId="0" applyFont="1" applyAlignment="1">
      <alignment wrapText="1"/>
    </xf>
    <xf numFmtId="4" fontId="44" fillId="0" borderId="0" xfId="0" applyNumberFormat="1" applyFont="1" applyAlignment="1">
      <alignment horizontal="right" wrapText="1"/>
    </xf>
    <xf numFmtId="4" fontId="44" fillId="37" borderId="0" xfId="0" applyNumberFormat="1" applyFont="1" applyFill="1" applyAlignment="1">
      <alignment horizontal="right" wrapText="1"/>
    </xf>
    <xf numFmtId="0" fontId="44" fillId="45" borderId="0" xfId="0" applyFont="1" applyFill="1" applyAlignment="1">
      <alignment horizontal="right" wrapText="1"/>
    </xf>
    <xf numFmtId="0" fontId="44" fillId="44" borderId="0" xfId="0" applyFont="1" applyFill="1" applyAlignment="1">
      <alignment horizontal="right" wrapText="1"/>
    </xf>
    <xf numFmtId="4" fontId="37" fillId="0" borderId="0" xfId="0" applyNumberFormat="1" applyFont="1"/>
    <xf numFmtId="4" fontId="45" fillId="0" borderId="0" xfId="0" applyNumberFormat="1" applyFont="1"/>
    <xf numFmtId="4" fontId="35" fillId="0" borderId="10" xfId="0" applyNumberFormat="1" applyFont="1" applyBorder="1" applyAlignment="1">
      <alignment horizontal="right" vertical="top" wrapText="1"/>
    </xf>
    <xf numFmtId="4" fontId="35" fillId="42" borderId="10" xfId="0" applyNumberFormat="1" applyFont="1" applyFill="1" applyBorder="1" applyAlignment="1">
      <alignment horizontal="right" vertical="center" wrapText="1"/>
    </xf>
    <xf numFmtId="4" fontId="35" fillId="42" borderId="10" xfId="0" applyNumberFormat="1" applyFont="1" applyFill="1" applyBorder="1" applyAlignment="1">
      <alignment horizontal="right" vertical="top" wrapText="1"/>
    </xf>
    <xf numFmtId="4" fontId="36" fillId="42" borderId="10" xfId="0" applyNumberFormat="1" applyFont="1" applyFill="1" applyBorder="1" applyAlignment="1">
      <alignment horizontal="right" vertical="top" wrapText="1"/>
    </xf>
    <xf numFmtId="4" fontId="35" fillId="0" borderId="10" xfId="0" applyNumberFormat="1" applyFont="1" applyBorder="1" applyAlignment="1">
      <alignment horizontal="right" wrapText="1"/>
    </xf>
    <xf numFmtId="4" fontId="35" fillId="0" borderId="10" xfId="0" applyNumberFormat="1" applyFont="1" applyBorder="1" applyAlignment="1">
      <alignment wrapText="1"/>
    </xf>
    <xf numFmtId="4" fontId="35" fillId="0" borderId="10" xfId="0" applyNumberFormat="1" applyFont="1" applyBorder="1" applyAlignment="1">
      <alignment horizontal="center" wrapText="1"/>
    </xf>
    <xf numFmtId="4" fontId="35" fillId="39" borderId="10" xfId="0" applyNumberFormat="1" applyFont="1" applyFill="1" applyBorder="1" applyAlignment="1">
      <alignment horizontal="right" wrapText="1"/>
    </xf>
    <xf numFmtId="4" fontId="36" fillId="41" borderId="10" xfId="0" applyNumberFormat="1" applyFont="1" applyFill="1" applyBorder="1" applyAlignment="1">
      <alignment horizontal="right" wrapText="1"/>
    </xf>
    <xf numFmtId="4" fontId="36" fillId="35" borderId="10" xfId="0" applyNumberFormat="1" applyFont="1" applyFill="1" applyBorder="1" applyAlignment="1">
      <alignment wrapText="1"/>
    </xf>
    <xf numFmtId="4" fontId="37" fillId="35" borderId="10" xfId="0" applyNumberFormat="1" applyFont="1" applyFill="1" applyBorder="1" applyAlignment="1">
      <alignment wrapText="1"/>
    </xf>
    <xf numFmtId="4" fontId="35" fillId="39" borderId="10" xfId="0" applyNumberFormat="1" applyFont="1" applyFill="1" applyBorder="1" applyAlignment="1">
      <alignment wrapText="1"/>
    </xf>
    <xf numFmtId="4" fontId="35" fillId="40" borderId="10" xfId="0" applyNumberFormat="1" applyFont="1" applyFill="1" applyBorder="1" applyAlignment="1">
      <alignment wrapText="1"/>
    </xf>
    <xf numFmtId="4" fontId="35" fillId="40" borderId="10" xfId="0" applyNumberFormat="1" applyFont="1" applyFill="1" applyBorder="1" applyAlignment="1">
      <alignment horizontal="right" wrapText="1"/>
    </xf>
    <xf numFmtId="4" fontId="36" fillId="41" borderId="10" xfId="0" applyNumberFormat="1" applyFont="1" applyFill="1" applyBorder="1" applyAlignment="1">
      <alignment wrapText="1"/>
    </xf>
    <xf numFmtId="0" fontId="21" fillId="0" borderId="0" xfId="0" applyFont="1" applyAlignment="1">
      <alignment vertical="top"/>
    </xf>
    <xf numFmtId="2" fontId="21" fillId="0" borderId="0" xfId="0" applyNumberFormat="1" applyFont="1" applyAlignment="1">
      <alignment vertical="top"/>
    </xf>
    <xf numFmtId="0" fontId="20" fillId="0" borderId="0" xfId="0" applyFont="1" applyAlignment="1">
      <alignment vertical="top"/>
    </xf>
    <xf numFmtId="4" fontId="36" fillId="38" borderId="10" xfId="0" applyNumberFormat="1" applyFont="1" applyFill="1" applyBorder="1" applyAlignment="1">
      <alignment horizontal="center" vertical="center" wrapText="1"/>
    </xf>
    <xf numFmtId="4" fontId="20" fillId="38" borderId="10" xfId="0" applyNumberFormat="1" applyFont="1" applyFill="1" applyBorder="1" applyAlignment="1">
      <alignment horizontal="center" vertical="center" wrapText="1"/>
    </xf>
    <xf numFmtId="4" fontId="39" fillId="35" borderId="10" xfId="0" applyNumberFormat="1" applyFont="1" applyFill="1" applyBorder="1" applyAlignment="1">
      <alignment wrapText="1"/>
    </xf>
    <xf numFmtId="4" fontId="35" fillId="0" borderId="10" xfId="0" applyNumberFormat="1" applyFont="1" applyBorder="1" applyAlignment="1">
      <alignment vertical="top" wrapText="1"/>
    </xf>
    <xf numFmtId="4" fontId="38" fillId="0" borderId="10" xfId="0" applyNumberFormat="1" applyFont="1" applyBorder="1" applyAlignment="1">
      <alignment wrapText="1"/>
    </xf>
    <xf numFmtId="4" fontId="36" fillId="35" borderId="10" xfId="0" applyNumberFormat="1" applyFont="1" applyFill="1" applyBorder="1" applyAlignment="1">
      <alignment vertical="center" wrapText="1"/>
    </xf>
    <xf numFmtId="4" fontId="37" fillId="35" borderId="10" xfId="0" applyNumberFormat="1" applyFont="1" applyFill="1" applyBorder="1" applyAlignment="1">
      <alignment vertical="center" wrapText="1"/>
    </xf>
    <xf numFmtId="4" fontId="35" fillId="0" borderId="10" xfId="0" applyNumberFormat="1" applyFont="1" applyBorder="1" applyAlignment="1">
      <alignment vertical="center" wrapText="1"/>
    </xf>
    <xf numFmtId="4" fontId="35" fillId="0" borderId="10" xfId="0" applyNumberFormat="1" applyFont="1" applyBorder="1" applyAlignment="1">
      <alignment horizontal="right" vertical="center" wrapText="1"/>
    </xf>
    <xf numFmtId="4" fontId="35" fillId="39" borderId="10" xfId="0" applyNumberFormat="1" applyFont="1" applyFill="1" applyBorder="1" applyAlignment="1">
      <alignment vertical="center" wrapText="1"/>
    </xf>
    <xf numFmtId="4" fontId="35" fillId="39" borderId="10" xfId="0" applyNumberFormat="1" applyFont="1" applyFill="1" applyBorder="1" applyAlignment="1">
      <alignment horizontal="right" vertical="center" wrapText="1"/>
    </xf>
    <xf numFmtId="4" fontId="35" fillId="40" borderId="10" xfId="0" applyNumberFormat="1" applyFont="1" applyFill="1" applyBorder="1" applyAlignment="1">
      <alignment vertical="center" wrapText="1"/>
    </xf>
    <xf numFmtId="4" fontId="35" fillId="40" borderId="10" xfId="0" applyNumberFormat="1" applyFont="1" applyFill="1" applyBorder="1" applyAlignment="1">
      <alignment horizontal="right" vertical="center" wrapText="1"/>
    </xf>
    <xf numFmtId="4" fontId="39" fillId="35" borderId="10" xfId="0" applyNumberFormat="1" applyFont="1" applyFill="1" applyBorder="1" applyAlignment="1">
      <alignment vertical="center" wrapText="1"/>
    </xf>
    <xf numFmtId="4" fontId="36" fillId="41" borderId="10" xfId="0" applyNumberFormat="1" applyFont="1" applyFill="1" applyBorder="1" applyAlignment="1">
      <alignment vertical="center" wrapText="1"/>
    </xf>
    <xf numFmtId="4" fontId="36" fillId="41" borderId="10" xfId="0" applyNumberFormat="1" applyFont="1" applyFill="1" applyBorder="1" applyAlignment="1">
      <alignment horizontal="right" vertical="center" wrapText="1"/>
    </xf>
    <xf numFmtId="0" fontId="23" fillId="33" borderId="10" xfId="0" applyFont="1" applyFill="1" applyBorder="1" applyAlignment="1">
      <alignment horizontal="center" vertical="center" wrapText="1"/>
    </xf>
    <xf numFmtId="2" fontId="23" fillId="33" borderId="10" xfId="0" applyNumberFormat="1" applyFont="1" applyFill="1" applyBorder="1" applyAlignment="1">
      <alignment horizontal="center" vertical="center" wrapText="1"/>
    </xf>
    <xf numFmtId="0" fontId="36" fillId="36" borderId="10" xfId="0" applyFont="1" applyFill="1" applyBorder="1" applyAlignment="1">
      <alignment horizontal="center" vertical="center" wrapText="1"/>
    </xf>
    <xf numFmtId="0" fontId="42" fillId="0" borderId="0" xfId="42" applyFont="1" applyBorder="1"/>
    <xf numFmtId="4" fontId="35" fillId="0" borderId="10" xfId="0" applyNumberFormat="1" applyFont="1" applyFill="1" applyBorder="1" applyAlignment="1">
      <alignment horizontal="right" vertical="center" wrapText="1"/>
    </xf>
    <xf numFmtId="0" fontId="20" fillId="0" borderId="0" xfId="0" applyFont="1"/>
    <xf numFmtId="4" fontId="35" fillId="47" borderId="10" xfId="0" applyNumberFormat="1" applyFont="1" applyFill="1" applyBorder="1" applyAlignment="1">
      <alignment horizontal="right" vertical="center" wrapText="1"/>
    </xf>
    <xf numFmtId="4" fontId="35" fillId="47" borderId="10" xfId="0" applyNumberFormat="1" applyFont="1" applyFill="1" applyBorder="1" applyAlignment="1">
      <alignment horizontal="right" wrapText="1"/>
    </xf>
    <xf numFmtId="4" fontId="21" fillId="47" borderId="10" xfId="0" applyNumberFormat="1" applyFont="1" applyFill="1" applyBorder="1"/>
    <xf numFmtId="4" fontId="47" fillId="0" borderId="0" xfId="0" applyNumberFormat="1" applyFont="1"/>
    <xf numFmtId="4" fontId="48" fillId="48" borderId="16" xfId="0" applyNumberFormat="1" applyFont="1" applyFill="1" applyBorder="1" applyAlignment="1">
      <alignment horizontal="right" wrapText="1"/>
    </xf>
    <xf numFmtId="4" fontId="0" fillId="0" borderId="0" xfId="0" applyNumberFormat="1"/>
    <xf numFmtId="0" fontId="14" fillId="0" borderId="0" xfId="0" applyFont="1"/>
    <xf numFmtId="0" fontId="0" fillId="50" borderId="21" xfId="0" applyFill="1" applyBorder="1" applyAlignment="1">
      <alignment vertical="top" wrapText="1"/>
    </xf>
    <xf numFmtId="0" fontId="36" fillId="34" borderId="10" xfId="0" applyFont="1" applyFill="1" applyBorder="1" applyAlignment="1">
      <alignment horizontal="center" vertical="center" wrapText="1"/>
    </xf>
    <xf numFmtId="4" fontId="35" fillId="0" borderId="10" xfId="0" applyNumberFormat="1" applyFont="1" applyBorder="1"/>
    <xf numFmtId="4" fontId="21" fillId="0" borderId="0" xfId="0" applyNumberFormat="1" applyFont="1" applyAlignment="1">
      <alignment vertical="top"/>
    </xf>
    <xf numFmtId="0" fontId="53" fillId="43" borderId="0" xfId="0" applyFont="1" applyFill="1"/>
    <xf numFmtId="0" fontId="36" fillId="0" borderId="0" xfId="0" applyFont="1"/>
    <xf numFmtId="0" fontId="37" fillId="0" borderId="0" xfId="0" applyFont="1"/>
    <xf numFmtId="0" fontId="35" fillId="0" borderId="10" xfId="0" applyFont="1" applyBorder="1" applyAlignment="1">
      <alignment wrapText="1"/>
    </xf>
    <xf numFmtId="4" fontId="35" fillId="38" borderId="10" xfId="0" applyNumberFormat="1" applyFont="1" applyFill="1" applyBorder="1" applyAlignment="1">
      <alignment horizontal="right" wrapText="1"/>
    </xf>
    <xf numFmtId="0" fontId="35" fillId="0" borderId="10" xfId="0" applyFont="1" applyBorder="1" applyAlignment="1">
      <alignment vertical="center" wrapText="1"/>
    </xf>
    <xf numFmtId="0" fontId="36" fillId="0" borderId="10" xfId="0" applyFont="1" applyBorder="1" applyAlignment="1">
      <alignment wrapText="1"/>
    </xf>
    <xf numFmtId="4" fontId="36" fillId="0" borderId="10" xfId="0" applyNumberFormat="1" applyFont="1" applyBorder="1" applyAlignment="1">
      <alignment horizontal="right" wrapText="1"/>
    </xf>
    <xf numFmtId="4" fontId="36" fillId="37" borderId="10" xfId="0" applyNumberFormat="1" applyFont="1" applyFill="1" applyBorder="1" applyAlignment="1">
      <alignment horizontal="right" wrapText="1"/>
    </xf>
    <xf numFmtId="0" fontId="53" fillId="43" borderId="0" xfId="0" applyFont="1" applyFill="1" applyAlignment="1">
      <alignment vertical="center"/>
    </xf>
    <xf numFmtId="4" fontId="35" fillId="0" borderId="10" xfId="0" applyNumberFormat="1" applyFont="1" applyFill="1" applyBorder="1"/>
    <xf numFmtId="4" fontId="35" fillId="0" borderId="10" xfId="0" applyNumberFormat="1" applyFont="1" applyFill="1" applyBorder="1" applyAlignment="1">
      <alignment horizontal="right" wrapText="1"/>
    </xf>
    <xf numFmtId="4" fontId="36" fillId="44" borderId="10" xfId="0" applyNumberFormat="1" applyFont="1" applyFill="1" applyBorder="1" applyAlignment="1">
      <alignment horizontal="right" wrapText="1"/>
    </xf>
    <xf numFmtId="4" fontId="53" fillId="43" borderId="0" xfId="0" applyNumberFormat="1" applyFont="1" applyFill="1"/>
    <xf numFmtId="4" fontId="35" fillId="46" borderId="10" xfId="0" applyNumberFormat="1" applyFont="1" applyFill="1" applyBorder="1" applyAlignment="1">
      <alignment horizontal="right" wrapText="1"/>
    </xf>
    <xf numFmtId="0" fontId="21" fillId="0" borderId="0" xfId="0" applyFont="1" applyAlignment="1">
      <alignment horizontal="left" vertical="top" wrapText="1"/>
    </xf>
    <xf numFmtId="0" fontId="21" fillId="0" borderId="10" xfId="0" quotePrefix="1" applyFont="1" applyFill="1" applyBorder="1" applyAlignment="1">
      <alignment horizontal="center"/>
    </xf>
    <xf numFmtId="0" fontId="21" fillId="0" borderId="10" xfId="0" applyFont="1" applyFill="1" applyBorder="1"/>
    <xf numFmtId="0" fontId="42" fillId="0" borderId="10" xfId="0" quotePrefix="1" applyFont="1" applyFill="1" applyBorder="1" applyAlignment="1">
      <alignment horizontal="center"/>
    </xf>
    <xf numFmtId="0" fontId="42" fillId="0" borderId="10" xfId="0" applyFont="1" applyFill="1" applyBorder="1"/>
    <xf numFmtId="0" fontId="20" fillId="46" borderId="10" xfId="0" applyFont="1" applyFill="1" applyBorder="1" applyAlignment="1">
      <alignment horizontal="center"/>
    </xf>
    <xf numFmtId="3" fontId="20" fillId="46" borderId="10" xfId="0" applyNumberFormat="1" applyFont="1" applyFill="1" applyBorder="1"/>
    <xf numFmtId="0" fontId="21" fillId="0" borderId="0" xfId="0" applyFont="1" applyAlignment="1">
      <alignment vertical="top" wrapText="1"/>
    </xf>
    <xf numFmtId="4" fontId="21" fillId="0" borderId="0" xfId="0" applyNumberFormat="1" applyFont="1" applyAlignment="1">
      <alignment vertical="top" wrapText="1"/>
    </xf>
    <xf numFmtId="0" fontId="21" fillId="0" borderId="0" xfId="0" applyFont="1" applyAlignment="1" applyProtection="1">
      <alignment vertical="top" wrapText="1"/>
      <protection locked="0"/>
    </xf>
    <xf numFmtId="0" fontId="21" fillId="46" borderId="13" xfId="0" applyFont="1" applyFill="1" applyBorder="1"/>
    <xf numFmtId="0" fontId="21" fillId="46" borderId="14" xfId="0" applyFont="1" applyFill="1" applyBorder="1"/>
    <xf numFmtId="0" fontId="21" fillId="46" borderId="15" xfId="0" applyFont="1" applyFill="1" applyBorder="1"/>
    <xf numFmtId="0" fontId="20" fillId="0" borderId="0" xfId="0" applyFont="1" applyAlignment="1"/>
    <xf numFmtId="0" fontId="21" fillId="0" borderId="10" xfId="0" quotePrefix="1" applyFont="1" applyBorder="1" applyAlignment="1">
      <alignment horizontal="center"/>
    </xf>
    <xf numFmtId="0" fontId="21" fillId="0" borderId="10" xfId="0" applyFont="1" applyBorder="1"/>
    <xf numFmtId="0" fontId="54" fillId="0" borderId="0" xfId="0" applyFont="1"/>
    <xf numFmtId="0" fontId="20" fillId="46" borderId="14" xfId="0" applyFont="1" applyFill="1" applyBorder="1" applyAlignment="1">
      <alignment horizontal="center"/>
    </xf>
    <xf numFmtId="0" fontId="36" fillId="0" borderId="0" xfId="0" applyFont="1" applyAlignment="1"/>
    <xf numFmtId="4" fontId="21" fillId="0" borderId="10" xfId="0" applyNumberFormat="1" applyFont="1" applyFill="1" applyBorder="1"/>
    <xf numFmtId="4" fontId="42" fillId="0" borderId="10" xfId="0" applyNumberFormat="1" applyFont="1" applyFill="1" applyBorder="1"/>
    <xf numFmtId="4" fontId="20" fillId="46" borderId="10" xfId="0" applyNumberFormat="1" applyFont="1" applyFill="1" applyBorder="1"/>
    <xf numFmtId="4" fontId="42" fillId="0" borderId="10" xfId="0" applyNumberFormat="1" applyFont="1" applyBorder="1"/>
    <xf numFmtId="4" fontId="21" fillId="0" borderId="10" xfId="0" applyNumberFormat="1" applyFont="1" applyBorder="1"/>
    <xf numFmtId="3" fontId="21" fillId="0" borderId="10" xfId="0" applyNumberFormat="1" applyFont="1" applyBorder="1" applyAlignment="1">
      <alignment horizontal="right"/>
    </xf>
    <xf numFmtId="3" fontId="21" fillId="0" borderId="10" xfId="0" applyNumberFormat="1" applyFont="1" applyFill="1" applyBorder="1" applyAlignment="1">
      <alignment horizontal="right"/>
    </xf>
    <xf numFmtId="15" fontId="21" fillId="0" borderId="10" xfId="0" applyNumberFormat="1" applyFont="1" applyBorder="1" applyAlignment="1">
      <alignment horizontal="right"/>
    </xf>
    <xf numFmtId="15" fontId="42" fillId="0" borderId="10" xfId="0" applyNumberFormat="1" applyFont="1" applyFill="1" applyBorder="1" applyAlignment="1">
      <alignment horizontal="right"/>
    </xf>
    <xf numFmtId="4" fontId="55" fillId="35" borderId="10" xfId="0" applyNumberFormat="1" applyFont="1" applyFill="1" applyBorder="1" applyAlignment="1">
      <alignment wrapText="1"/>
    </xf>
    <xf numFmtId="4" fontId="35" fillId="0" borderId="0" xfId="0" applyNumberFormat="1" applyFont="1" applyBorder="1" applyAlignment="1">
      <alignment horizontal="right" wrapText="1"/>
    </xf>
    <xf numFmtId="0" fontId="44" fillId="33" borderId="24" xfId="0" applyFont="1" applyFill="1" applyBorder="1" applyAlignment="1">
      <alignment horizontal="center" wrapText="1"/>
    </xf>
    <xf numFmtId="0" fontId="56" fillId="37" borderId="24" xfId="0" applyFont="1" applyFill="1" applyBorder="1" applyAlignment="1">
      <alignment wrapText="1"/>
    </xf>
    <xf numFmtId="3" fontId="44" fillId="37" borderId="24" xfId="0" applyNumberFormat="1" applyFont="1" applyFill="1" applyBorder="1" applyAlignment="1">
      <alignment horizontal="right" wrapText="1"/>
    </xf>
    <xf numFmtId="0" fontId="57" fillId="37" borderId="24" xfId="0" applyFont="1" applyFill="1" applyBorder="1" applyAlignment="1">
      <alignment horizontal="right" wrapText="1"/>
    </xf>
    <xf numFmtId="0" fontId="58" fillId="34" borderId="24" xfId="0" applyFont="1" applyFill="1" applyBorder="1" applyAlignment="1">
      <alignment horizontal="center" wrapText="1"/>
    </xf>
    <xf numFmtId="0" fontId="56" fillId="34" borderId="24" xfId="0" applyFont="1" applyFill="1" applyBorder="1" applyAlignment="1">
      <alignment wrapText="1"/>
    </xf>
    <xf numFmtId="3" fontId="58" fillId="34" borderId="24" xfId="0" applyNumberFormat="1" applyFont="1" applyFill="1" applyBorder="1" applyAlignment="1">
      <alignment horizontal="right" wrapText="1"/>
    </xf>
    <xf numFmtId="0" fontId="58" fillId="34" borderId="24" xfId="0" applyFont="1" applyFill="1" applyBorder="1" applyAlignment="1">
      <alignment horizontal="right" wrapText="1"/>
    </xf>
    <xf numFmtId="0" fontId="59" fillId="0" borderId="0" xfId="0" applyFont="1"/>
    <xf numFmtId="4" fontId="60" fillId="43" borderId="0" xfId="0" applyNumberFormat="1" applyFont="1" applyFill="1"/>
    <xf numFmtId="0" fontId="60" fillId="43" borderId="0" xfId="0" applyFont="1" applyFill="1"/>
    <xf numFmtId="0" fontId="35" fillId="46" borderId="10" xfId="0" applyFont="1" applyFill="1" applyBorder="1" applyAlignment="1">
      <alignment wrapText="1"/>
    </xf>
    <xf numFmtId="0" fontId="53" fillId="46" borderId="0" xfId="0" applyFont="1" applyFill="1"/>
    <xf numFmtId="4" fontId="36" fillId="46" borderId="10" xfId="0" applyNumberFormat="1" applyFont="1" applyFill="1" applyBorder="1" applyAlignment="1">
      <alignment horizontal="right" wrapText="1"/>
    </xf>
    <xf numFmtId="4" fontId="34" fillId="44" borderId="0" xfId="0" applyNumberFormat="1" applyFont="1" applyFill="1" applyAlignment="1">
      <alignment horizontal="right" wrapText="1"/>
    </xf>
    <xf numFmtId="4" fontId="36" fillId="53" borderId="10" xfId="0" applyNumberFormat="1" applyFont="1" applyFill="1" applyBorder="1" applyAlignment="1">
      <alignment horizontal="right" wrapText="1"/>
    </xf>
    <xf numFmtId="4" fontId="36" fillId="53" borderId="10" xfId="0" applyNumberFormat="1" applyFont="1" applyFill="1" applyBorder="1" applyAlignment="1">
      <alignment wrapText="1"/>
    </xf>
    <xf numFmtId="15" fontId="21" fillId="0" borderId="10" xfId="0" applyNumberFormat="1" applyFont="1" applyFill="1" applyBorder="1" applyAlignment="1">
      <alignment horizontal="right"/>
    </xf>
    <xf numFmtId="4" fontId="36" fillId="0" borderId="10" xfId="0" applyNumberFormat="1" applyFont="1" applyFill="1" applyBorder="1" applyAlignment="1">
      <alignment horizontal="right" vertical="center" wrapText="1"/>
    </xf>
    <xf numFmtId="4" fontId="35" fillId="37" borderId="10" xfId="0" applyNumberFormat="1" applyFont="1" applyFill="1" applyBorder="1" applyAlignment="1">
      <alignment horizontal="right" wrapText="1"/>
    </xf>
    <xf numFmtId="0" fontId="36" fillId="0" borderId="10" xfId="0" applyFont="1" applyBorder="1" applyAlignment="1">
      <alignment vertical="center" wrapText="1"/>
    </xf>
    <xf numFmtId="0" fontId="36" fillId="0" borderId="10" xfId="0" applyFont="1" applyFill="1" applyBorder="1" applyAlignment="1">
      <alignment vertical="center" wrapText="1"/>
    </xf>
    <xf numFmtId="43" fontId="42" fillId="0" borderId="10" xfId="52" applyNumberFormat="1" applyFont="1" applyBorder="1" applyAlignment="1">
      <alignment vertical="center"/>
    </xf>
    <xf numFmtId="43" fontId="41" fillId="0" borderId="10" xfId="52" applyNumberFormat="1" applyFont="1" applyBorder="1" applyAlignment="1">
      <alignment vertical="center"/>
    </xf>
    <xf numFmtId="0" fontId="21" fillId="0" borderId="0" xfId="0" applyFont="1" applyAlignment="1">
      <alignment wrapText="1"/>
    </xf>
    <xf numFmtId="0" fontId="41" fillId="0" borderId="0" xfId="57" applyFont="1" applyFill="1" applyAlignment="1">
      <alignment horizontal="left" vertical="top"/>
    </xf>
    <xf numFmtId="3" fontId="41" fillId="0" borderId="0" xfId="57" applyNumberFormat="1" applyFont="1" applyFill="1" applyAlignment="1">
      <alignment horizontal="right" vertical="top"/>
    </xf>
    <xf numFmtId="0" fontId="41" fillId="0" borderId="0" xfId="57" applyFont="1" applyFill="1" applyBorder="1" applyAlignment="1">
      <alignment horizontal="left" vertical="top"/>
    </xf>
    <xf numFmtId="0" fontId="41" fillId="0" borderId="25" xfId="57" applyFont="1" applyFill="1" applyBorder="1" applyAlignment="1">
      <alignment horizontal="left" vertical="top" wrapText="1"/>
    </xf>
    <xf numFmtId="0" fontId="41" fillId="0" borderId="0" xfId="57" applyFont="1" applyFill="1" applyBorder="1" applyAlignment="1">
      <alignment horizontal="left" vertical="top" wrapText="1"/>
    </xf>
    <xf numFmtId="3" fontId="42" fillId="0" borderId="10" xfId="57" applyNumberFormat="1" applyFont="1" applyBorder="1" applyAlignment="1">
      <alignment horizontal="center" vertical="top"/>
    </xf>
    <xf numFmtId="0" fontId="42" fillId="0" borderId="10" xfId="57" applyFont="1" applyBorder="1" applyAlignment="1">
      <alignment vertical="top" wrapText="1"/>
    </xf>
    <xf numFmtId="0" fontId="42" fillId="0" borderId="10" xfId="57" applyFont="1" applyBorder="1" applyAlignment="1">
      <alignment horizontal="center" vertical="top"/>
    </xf>
    <xf numFmtId="0" fontId="42" fillId="0" borderId="10" xfId="57" applyFont="1" applyFill="1" applyBorder="1" applyAlignment="1">
      <alignment horizontal="center" vertical="top"/>
    </xf>
    <xf numFmtId="0" fontId="42" fillId="0" borderId="10" xfId="57" applyFont="1" applyBorder="1" applyAlignment="1">
      <alignment horizontal="left" vertical="top" wrapText="1"/>
    </xf>
    <xf numFmtId="0" fontId="42" fillId="0" borderId="0" xfId="57" applyFont="1" applyFill="1" applyAlignment="1">
      <alignment horizontal="center" vertical="top"/>
    </xf>
    <xf numFmtId="3" fontId="42" fillId="0" borderId="0" xfId="57" applyNumberFormat="1" applyFont="1" applyFill="1" applyAlignment="1">
      <alignment horizontal="right" vertical="top"/>
    </xf>
    <xf numFmtId="0" fontId="41" fillId="46" borderId="11" xfId="57" applyFont="1" applyFill="1" applyBorder="1" applyAlignment="1">
      <alignment horizontal="center" vertical="top"/>
    </xf>
    <xf numFmtId="0" fontId="41" fillId="46" borderId="12" xfId="57" applyFont="1" applyFill="1" applyBorder="1" applyAlignment="1">
      <alignment horizontal="center" vertical="top"/>
    </xf>
    <xf numFmtId="0" fontId="41" fillId="46" borderId="10" xfId="57" applyFont="1" applyFill="1" applyBorder="1" applyAlignment="1">
      <alignment horizontal="center" vertical="top"/>
    </xf>
    <xf numFmtId="3" fontId="41" fillId="46" borderId="26" xfId="57" applyNumberFormat="1" applyFont="1" applyFill="1" applyBorder="1" applyAlignment="1">
      <alignment horizontal="center" vertical="top"/>
    </xf>
    <xf numFmtId="3" fontId="41" fillId="46" borderId="27" xfId="57" applyNumberFormat="1" applyFont="1" applyFill="1" applyBorder="1" applyAlignment="1">
      <alignment horizontal="center" vertical="top"/>
    </xf>
    <xf numFmtId="0" fontId="41" fillId="46" borderId="28" xfId="57" applyFont="1" applyFill="1" applyBorder="1" applyAlignment="1">
      <alignment horizontal="center" vertical="top"/>
    </xf>
    <xf numFmtId="0" fontId="41" fillId="46" borderId="25" xfId="57" applyFont="1" applyFill="1" applyBorder="1" applyAlignment="1">
      <alignment horizontal="center" vertical="top"/>
    </xf>
    <xf numFmtId="4" fontId="42" fillId="0" borderId="10" xfId="57" applyNumberFormat="1" applyFont="1" applyFill="1" applyBorder="1" applyAlignment="1">
      <alignment horizontal="right" vertical="top"/>
    </xf>
    <xf numFmtId="4" fontId="42" fillId="0" borderId="10" xfId="57" applyNumberFormat="1" applyFont="1" applyBorder="1" applyAlignment="1">
      <alignment horizontal="right" vertical="top"/>
    </xf>
    <xf numFmtId="4" fontId="41" fillId="0" borderId="10" xfId="57" applyNumberFormat="1" applyFont="1" applyBorder="1" applyAlignment="1">
      <alignment vertical="top"/>
    </xf>
    <xf numFmtId="4" fontId="41" fillId="0" borderId="10" xfId="57" applyNumberFormat="1" applyFont="1" applyFill="1" applyBorder="1" applyAlignment="1">
      <alignment horizontal="right" vertical="top"/>
    </xf>
    <xf numFmtId="4" fontId="42" fillId="0" borderId="10" xfId="44" applyNumberFormat="1" applyFont="1" applyBorder="1" applyAlignment="1">
      <alignment horizontal="right" vertical="top"/>
    </xf>
    <xf numFmtId="4" fontId="42" fillId="0" borderId="10" xfId="44" quotePrefix="1" applyNumberFormat="1" applyFont="1" applyBorder="1" applyAlignment="1">
      <alignment horizontal="right" vertical="top"/>
    </xf>
    <xf numFmtId="4" fontId="42" fillId="0" borderId="10" xfId="44" applyNumberFormat="1" applyFont="1" applyFill="1" applyBorder="1" applyAlignment="1">
      <alignment horizontal="right" vertical="top"/>
    </xf>
    <xf numFmtId="0" fontId="65" fillId="0" borderId="0" xfId="0" applyFont="1"/>
    <xf numFmtId="4" fontId="21" fillId="0" borderId="10" xfId="0" applyNumberFormat="1" applyFont="1" applyBorder="1" applyAlignment="1">
      <alignment vertical="top" wrapText="1"/>
    </xf>
    <xf numFmtId="0" fontId="20" fillId="46" borderId="11" xfId="0" applyFont="1" applyFill="1" applyBorder="1" applyAlignment="1">
      <alignment horizontal="center" vertical="top" wrapText="1"/>
    </xf>
    <xf numFmtId="0" fontId="21" fillId="46" borderId="12" xfId="0" applyFont="1" applyFill="1" applyBorder="1" applyAlignment="1">
      <alignment vertical="top" wrapText="1"/>
    </xf>
    <xf numFmtId="4" fontId="20" fillId="0" borderId="10" xfId="0" applyNumberFormat="1" applyFont="1" applyBorder="1" applyAlignment="1">
      <alignment vertical="top" wrapText="1"/>
    </xf>
    <xf numFmtId="0" fontId="37" fillId="0" borderId="0" xfId="0" applyFont="1" applyAlignment="1">
      <alignment vertical="top"/>
    </xf>
    <xf numFmtId="4" fontId="21" fillId="46" borderId="10" xfId="0" applyNumberFormat="1" applyFont="1" applyFill="1" applyBorder="1"/>
    <xf numFmtId="4" fontId="35" fillId="46" borderId="10" xfId="0" applyNumberFormat="1" applyFont="1" applyFill="1" applyBorder="1" applyAlignment="1">
      <alignment horizontal="right" vertical="center" wrapText="1"/>
    </xf>
    <xf numFmtId="4" fontId="35" fillId="46" borderId="10" xfId="0" applyNumberFormat="1" applyFont="1" applyFill="1" applyBorder="1"/>
    <xf numFmtId="4" fontId="21" fillId="0" borderId="10" xfId="0" applyNumberFormat="1" applyFont="1" applyBorder="1" applyAlignment="1">
      <alignment vertical="top"/>
    </xf>
    <xf numFmtId="2" fontId="21" fillId="46" borderId="10" xfId="0" applyNumberFormat="1" applyFont="1" applyFill="1" applyBorder="1" applyAlignment="1">
      <alignment vertical="top"/>
    </xf>
    <xf numFmtId="0" fontId="36" fillId="55" borderId="10" xfId="0" applyFont="1" applyFill="1" applyBorder="1" applyAlignment="1">
      <alignment horizontal="center" vertical="center" wrapText="1"/>
    </xf>
    <xf numFmtId="4" fontId="35" fillId="55" borderId="10" xfId="0" applyNumberFormat="1" applyFont="1" applyFill="1" applyBorder="1" applyAlignment="1">
      <alignment horizontal="right" wrapText="1"/>
    </xf>
    <xf numFmtId="4" fontId="36" fillId="55" borderId="10" xfId="0" applyNumberFormat="1" applyFont="1" applyFill="1" applyBorder="1" applyAlignment="1">
      <alignment horizontal="right" wrapText="1"/>
    </xf>
    <xf numFmtId="0" fontId="41" fillId="34" borderId="10" xfId="0" applyFont="1" applyFill="1" applyBorder="1" applyAlignment="1">
      <alignment horizontal="center" vertical="center" wrapText="1"/>
    </xf>
    <xf numFmtId="4" fontId="42" fillId="43" borderId="10" xfId="0" applyNumberFormat="1" applyFont="1" applyFill="1" applyBorder="1"/>
    <xf numFmtId="0" fontId="42" fillId="0" borderId="0" xfId="0" applyFont="1"/>
    <xf numFmtId="0" fontId="66" fillId="0" borderId="0" xfId="0" applyFont="1"/>
    <xf numFmtId="0" fontId="42" fillId="43" borderId="0" xfId="0" applyFont="1" applyFill="1"/>
    <xf numFmtId="4" fontId="20" fillId="41" borderId="10" xfId="0" applyNumberFormat="1" applyFont="1" applyFill="1" applyBorder="1" applyAlignment="1">
      <alignment horizontal="right" vertical="center" wrapText="1"/>
    </xf>
    <xf numFmtId="4" fontId="41" fillId="41" borderId="10" xfId="0" applyNumberFormat="1" applyFont="1" applyFill="1" applyBorder="1" applyAlignment="1">
      <alignment horizontal="right" vertical="center" wrapText="1"/>
    </xf>
    <xf numFmtId="4" fontId="21" fillId="55" borderId="10" xfId="0" applyNumberFormat="1" applyFont="1" applyFill="1" applyBorder="1"/>
    <xf numFmtId="4" fontId="42" fillId="0" borderId="10" xfId="52" applyNumberFormat="1" applyFont="1" applyBorder="1"/>
    <xf numFmtId="0" fontId="41" fillId="0" borderId="0" xfId="0" applyFont="1" applyAlignment="1"/>
    <xf numFmtId="0" fontId="42" fillId="0" borderId="0" xfId="0" applyFont="1" applyAlignment="1">
      <alignment wrapText="1"/>
    </xf>
    <xf numFmtId="0" fontId="42" fillId="0" borderId="0" xfId="0" applyFont="1" applyAlignment="1">
      <alignment vertical="top" wrapText="1"/>
    </xf>
    <xf numFmtId="0" fontId="41" fillId="46" borderId="11" xfId="0" applyFont="1" applyFill="1" applyBorder="1" applyAlignment="1">
      <alignment horizontal="center" vertical="top" wrapText="1"/>
    </xf>
    <xf numFmtId="0" fontId="42" fillId="46" borderId="12" xfId="0" applyFont="1" applyFill="1" applyBorder="1" applyAlignment="1">
      <alignment vertical="top" wrapText="1"/>
    </xf>
    <xf numFmtId="4" fontId="42" fillId="0" borderId="10" xfId="43" applyNumberFormat="1" applyFont="1" applyBorder="1" applyAlignment="1">
      <alignment horizontal="right" vertical="top"/>
    </xf>
    <xf numFmtId="4" fontId="42" fillId="0" borderId="10" xfId="0" applyNumberFormat="1" applyFont="1" applyBorder="1" applyAlignment="1">
      <alignment vertical="top" wrapText="1"/>
    </xf>
    <xf numFmtId="4" fontId="41" fillId="0" borderId="10" xfId="0" applyNumberFormat="1" applyFont="1" applyBorder="1" applyAlignment="1">
      <alignment vertical="top" wrapText="1"/>
    </xf>
    <xf numFmtId="0" fontId="34" fillId="0" borderId="0" xfId="0" applyFont="1" applyAlignment="1">
      <alignment horizontal="right" wrapText="1"/>
    </xf>
    <xf numFmtId="4" fontId="35" fillId="0" borderId="10" xfId="0" applyNumberFormat="1" applyFont="1" applyFill="1" applyBorder="1" applyAlignment="1">
      <alignment wrapText="1"/>
    </xf>
    <xf numFmtId="0" fontId="34" fillId="0" borderId="0" xfId="0" applyFont="1" applyFill="1" applyAlignment="1">
      <alignment wrapText="1"/>
    </xf>
    <xf numFmtId="4" fontId="34" fillId="0" borderId="0" xfId="0" applyNumberFormat="1" applyFont="1" applyFill="1" applyAlignment="1">
      <alignment horizontal="right" wrapText="1"/>
    </xf>
    <xf numFmtId="4" fontId="21" fillId="0" borderId="0" xfId="0" applyNumberFormat="1" applyFont="1" applyFill="1"/>
    <xf numFmtId="4" fontId="20" fillId="55" borderId="10" xfId="0" applyNumberFormat="1" applyFont="1" applyFill="1" applyBorder="1"/>
    <xf numFmtId="4" fontId="21" fillId="0" borderId="10" xfId="0" applyNumberFormat="1" applyFont="1" applyBorder="1" applyAlignment="1">
      <alignment horizontal="right" vertical="top" wrapText="1"/>
    </xf>
    <xf numFmtId="0" fontId="41" fillId="0" borderId="10" xfId="42" applyFont="1" applyBorder="1" applyAlignment="1">
      <alignment horizontal="center" vertical="center"/>
    </xf>
    <xf numFmtId="0" fontId="41" fillId="0" borderId="10" xfId="42" applyFont="1" applyBorder="1"/>
    <xf numFmtId="43" fontId="41" fillId="0" borderId="10" xfId="42" applyNumberFormat="1" applyFont="1" applyBorder="1"/>
    <xf numFmtId="0" fontId="41" fillId="46" borderId="13" xfId="57" applyFont="1" applyFill="1" applyBorder="1" applyAlignment="1">
      <alignment horizontal="center" vertical="top"/>
    </xf>
    <xf numFmtId="0" fontId="41" fillId="46" borderId="13" xfId="57" applyFont="1" applyFill="1" applyBorder="1" applyAlignment="1">
      <alignment horizontal="center" vertical="top"/>
    </xf>
    <xf numFmtId="0" fontId="68" fillId="0" borderId="10" xfId="57" applyFont="1" applyBorder="1" applyAlignment="1">
      <alignment horizontal="center" vertical="top"/>
    </xf>
    <xf numFmtId="0" fontId="68" fillId="0" borderId="10" xfId="57" applyFont="1" applyFill="1" applyBorder="1" applyAlignment="1">
      <alignment horizontal="center" vertical="top"/>
    </xf>
    <xf numFmtId="0" fontId="68" fillId="0" borderId="10" xfId="57" applyFont="1" applyBorder="1" applyAlignment="1">
      <alignment horizontal="left" vertical="top" wrapText="1"/>
    </xf>
    <xf numFmtId="0" fontId="68" fillId="0" borderId="10" xfId="57" applyFont="1" applyFill="1" applyBorder="1" applyAlignment="1">
      <alignment vertical="top" wrapText="1"/>
    </xf>
    <xf numFmtId="3" fontId="68" fillId="0" borderId="10" xfId="57" applyNumberFormat="1" applyFont="1" applyFill="1" applyBorder="1" applyAlignment="1">
      <alignment horizontal="center" vertical="top"/>
    </xf>
    <xf numFmtId="188" fontId="68" fillId="0" borderId="10" xfId="52" applyNumberFormat="1" applyFont="1" applyFill="1" applyBorder="1" applyAlignment="1">
      <alignment vertical="top"/>
    </xf>
    <xf numFmtId="0" fontId="68" fillId="0" borderId="10" xfId="57" applyFont="1" applyFill="1" applyBorder="1" applyAlignment="1">
      <alignment vertical="top"/>
    </xf>
    <xf numFmtId="0" fontId="68" fillId="0" borderId="10" xfId="57" applyFont="1" applyBorder="1" applyAlignment="1">
      <alignment vertical="top" wrapText="1"/>
    </xf>
    <xf numFmtId="188" fontId="42" fillId="0" borderId="10" xfId="52" applyNumberFormat="1" applyFont="1" applyBorder="1" applyAlignment="1">
      <alignment horizontal="right" vertical="top" shrinkToFit="1"/>
    </xf>
    <xf numFmtId="0" fontId="68" fillId="0" borderId="10" xfId="0" applyFont="1" applyBorder="1" applyAlignment="1">
      <alignment vertical="top"/>
    </xf>
    <xf numFmtId="1" fontId="68" fillId="0" borderId="10" xfId="52" applyNumberFormat="1" applyFont="1" applyBorder="1" applyAlignment="1">
      <alignment horizontal="center" vertical="top"/>
    </xf>
    <xf numFmtId="188" fontId="68" fillId="0" borderId="10" xfId="52" applyNumberFormat="1" applyFont="1" applyBorder="1" applyAlignment="1">
      <alignment vertical="top"/>
    </xf>
    <xf numFmtId="0" fontId="68" fillId="0" borderId="10" xfId="57" applyFont="1" applyBorder="1" applyAlignment="1">
      <alignment vertical="top"/>
    </xf>
    <xf numFmtId="1" fontId="42" fillId="0" borderId="10" xfId="52" applyNumberFormat="1" applyFont="1" applyFill="1" applyBorder="1" applyAlignment="1">
      <alignment horizontal="center" vertical="top"/>
    </xf>
    <xf numFmtId="188" fontId="42" fillId="0" borderId="10" xfId="52" applyNumberFormat="1" applyFont="1" applyFill="1" applyBorder="1" applyAlignment="1">
      <alignment horizontal="right" vertical="top"/>
    </xf>
    <xf numFmtId="188" fontId="42" fillId="0" borderId="10" xfId="52" applyNumberFormat="1" applyFont="1" applyFill="1" applyBorder="1" applyAlignment="1">
      <alignment vertical="top"/>
    </xf>
    <xf numFmtId="0" fontId="42" fillId="0" borderId="10" xfId="0" applyFont="1" applyFill="1" applyBorder="1" applyAlignment="1">
      <alignment vertical="top" wrapText="1"/>
    </xf>
    <xf numFmtId="0" fontId="42" fillId="0" borderId="10" xfId="0" applyFont="1" applyFill="1" applyBorder="1" applyAlignment="1">
      <alignment vertical="top"/>
    </xf>
    <xf numFmtId="188" fontId="68" fillId="0" borderId="10" xfId="52" applyNumberFormat="1" applyFont="1" applyBorder="1" applyAlignment="1">
      <alignment horizontal="center" vertical="top"/>
    </xf>
    <xf numFmtId="4" fontId="42" fillId="0" borderId="10" xfId="59" applyNumberFormat="1" applyFont="1" applyBorder="1" applyAlignment="1">
      <alignment horizontal="right" vertical="top"/>
    </xf>
    <xf numFmtId="4" fontId="42" fillId="54" borderId="10" xfId="59" applyNumberFormat="1" applyFont="1" applyFill="1" applyBorder="1" applyAlignment="1">
      <alignment horizontal="right" vertical="top"/>
    </xf>
    <xf numFmtId="43" fontId="41" fillId="0" borderId="10" xfId="66" applyFont="1" applyBorder="1"/>
    <xf numFmtId="4" fontId="24" fillId="0" borderId="0" xfId="0" applyNumberFormat="1" applyFont="1" applyAlignment="1">
      <alignment wrapText="1"/>
    </xf>
    <xf numFmtId="188" fontId="42" fillId="0" borderId="10" xfId="52" applyNumberFormat="1" applyFont="1" applyBorder="1" applyAlignment="1">
      <alignment horizontal="right" vertical="top"/>
    </xf>
    <xf numFmtId="0" fontId="42" fillId="0" borderId="10" xfId="0" applyFont="1" applyBorder="1" applyAlignment="1">
      <alignment vertical="top" wrapText="1"/>
    </xf>
    <xf numFmtId="3" fontId="41" fillId="46" borderId="10" xfId="57" applyNumberFormat="1" applyFont="1" applyFill="1" applyBorder="1" applyAlignment="1">
      <alignment horizontal="center" vertical="top"/>
    </xf>
    <xf numFmtId="0" fontId="41" fillId="46" borderId="10" xfId="0" applyFont="1" applyFill="1" applyBorder="1" applyAlignment="1">
      <alignment horizontal="center" vertical="top" wrapText="1"/>
    </xf>
    <xf numFmtId="0" fontId="42" fillId="46" borderId="10" xfId="0" applyFont="1" applyFill="1" applyBorder="1" applyAlignment="1">
      <alignment vertical="top" wrapText="1"/>
    </xf>
    <xf numFmtId="0" fontId="42" fillId="0" borderId="10" xfId="64" applyFont="1" applyBorder="1"/>
    <xf numFmtId="43" fontId="42" fillId="0" borderId="10" xfId="66" applyFont="1" applyBorder="1"/>
    <xf numFmtId="0" fontId="42" fillId="0" borderId="10" xfId="0" applyFont="1" applyFill="1" applyBorder="1" applyAlignment="1">
      <alignment horizontal="left" vertical="top" wrapText="1"/>
    </xf>
    <xf numFmtId="0" fontId="42" fillId="0" borderId="10" xfId="0" applyFont="1" applyFill="1" applyBorder="1" applyAlignment="1">
      <alignment horizontal="center" vertical="top"/>
    </xf>
    <xf numFmtId="4" fontId="21" fillId="43" borderId="10" xfId="0" applyNumberFormat="1" applyFont="1" applyFill="1" applyBorder="1"/>
    <xf numFmtId="0" fontId="35" fillId="46" borderId="10" xfId="0" applyFont="1" applyFill="1" applyBorder="1" applyAlignment="1">
      <alignment vertical="center" wrapText="1"/>
    </xf>
    <xf numFmtId="4" fontId="36" fillId="46" borderId="10" xfId="0" applyNumberFormat="1" applyFont="1" applyFill="1" applyBorder="1" applyAlignment="1">
      <alignment horizontal="right" vertical="center" wrapText="1"/>
    </xf>
    <xf numFmtId="4" fontId="20" fillId="43" borderId="10" xfId="0" applyNumberFormat="1" applyFont="1" applyFill="1" applyBorder="1"/>
    <xf numFmtId="4" fontId="21" fillId="0" borderId="10" xfId="0" applyNumberFormat="1" applyFont="1" applyBorder="1" applyAlignment="1">
      <alignment horizontal="right" vertical="top"/>
    </xf>
    <xf numFmtId="0" fontId="70" fillId="0" borderId="0" xfId="0" applyFont="1"/>
    <xf numFmtId="4" fontId="24" fillId="0" borderId="10" xfId="0" applyNumberFormat="1" applyFont="1" applyBorder="1" applyAlignment="1">
      <alignment wrapText="1"/>
    </xf>
    <xf numFmtId="4" fontId="20" fillId="56" borderId="10" xfId="0" applyNumberFormat="1" applyFont="1" applyFill="1" applyBorder="1"/>
    <xf numFmtId="4" fontId="42" fillId="0" borderId="10" xfId="52" quotePrefix="1" applyNumberFormat="1" applyFont="1" applyBorder="1" applyAlignment="1">
      <alignment horizontal="center"/>
    </xf>
    <xf numFmtId="4" fontId="21" fillId="0" borderId="10" xfId="0" quotePrefix="1" applyNumberFormat="1" applyFont="1" applyBorder="1" applyAlignment="1">
      <alignment horizontal="center"/>
    </xf>
    <xf numFmtId="0" fontId="71" fillId="0" borderId="0" xfId="0" applyFont="1" applyFill="1" applyBorder="1" applyAlignment="1">
      <alignment horizontal="center"/>
    </xf>
    <xf numFmtId="4" fontId="20" fillId="0" borderId="0" xfId="0" applyNumberFormat="1" applyFont="1" applyFill="1" applyBorder="1"/>
    <xf numFmtId="4" fontId="21" fillId="0" borderId="0" xfId="0" applyNumberFormat="1" applyFont="1" applyBorder="1"/>
    <xf numFmtId="4" fontId="42" fillId="0" borderId="0" xfId="0" applyNumberFormat="1" applyFont="1" applyFill="1" applyBorder="1"/>
    <xf numFmtId="0" fontId="20" fillId="0" borderId="0" xfId="0" applyFont="1" applyFill="1" applyBorder="1" applyAlignment="1">
      <alignment horizontal="center"/>
    </xf>
    <xf numFmtId="0" fontId="20" fillId="56" borderId="10" xfId="0" applyFont="1" applyFill="1" applyBorder="1" applyAlignment="1">
      <alignment horizontal="center"/>
    </xf>
    <xf numFmtId="0" fontId="22" fillId="56" borderId="10" xfId="0" applyFont="1" applyFill="1" applyBorder="1" applyAlignment="1">
      <alignment horizontal="center" wrapText="1"/>
    </xf>
    <xf numFmtId="188" fontId="42" fillId="0" borderId="10" xfId="52" applyNumberFormat="1" applyFont="1" applyBorder="1" applyAlignment="1">
      <alignment vertical="top"/>
    </xf>
    <xf numFmtId="189" fontId="42" fillId="0" borderId="10" xfId="52" applyNumberFormat="1" applyFont="1" applyFill="1" applyBorder="1" applyAlignment="1">
      <alignment vertical="top"/>
    </xf>
    <xf numFmtId="0" fontId="51" fillId="51" borderId="16" xfId="51" applyFill="1" applyBorder="1" applyAlignment="1" applyProtection="1">
      <alignment horizontal="left" vertical="center" wrapText="1"/>
    </xf>
    <xf numFmtId="0" fontId="48" fillId="51" borderId="16" xfId="0" applyFont="1" applyFill="1" applyBorder="1" applyAlignment="1">
      <alignment horizontal="right" vertical="center" wrapText="1"/>
    </xf>
    <xf numFmtId="4" fontId="48" fillId="51" borderId="16" xfId="0" applyNumberFormat="1" applyFont="1" applyFill="1" applyBorder="1" applyAlignment="1">
      <alignment horizontal="right" vertical="center" wrapText="1"/>
    </xf>
    <xf numFmtId="10" fontId="48" fillId="51" borderId="16" xfId="0" applyNumberFormat="1" applyFont="1" applyFill="1" applyBorder="1" applyAlignment="1">
      <alignment horizontal="right" vertical="center" wrapText="1"/>
    </xf>
    <xf numFmtId="0" fontId="51" fillId="49" borderId="16" xfId="51" applyFill="1" applyBorder="1" applyAlignment="1" applyProtection="1">
      <alignment horizontal="left" vertical="center" wrapText="1"/>
    </xf>
    <xf numFmtId="0" fontId="48" fillId="49" borderId="16" xfId="0" applyFont="1" applyFill="1" applyBorder="1" applyAlignment="1">
      <alignment horizontal="right" vertical="center" wrapText="1"/>
    </xf>
    <xf numFmtId="4" fontId="48" fillId="49" borderId="16" xfId="0" applyNumberFormat="1" applyFont="1" applyFill="1" applyBorder="1" applyAlignment="1">
      <alignment horizontal="right" vertical="center" wrapText="1"/>
    </xf>
    <xf numFmtId="10" fontId="48" fillId="49" borderId="16" xfId="0" applyNumberFormat="1" applyFont="1" applyFill="1" applyBorder="1" applyAlignment="1">
      <alignment horizontal="right" vertical="center" wrapText="1"/>
    </xf>
    <xf numFmtId="0" fontId="50" fillId="48" borderId="16" xfId="0" applyFont="1" applyFill="1" applyBorder="1" applyAlignment="1">
      <alignment horizontal="center" vertical="center" wrapText="1"/>
    </xf>
    <xf numFmtId="4" fontId="48" fillId="48" borderId="16" xfId="0" applyNumberFormat="1" applyFont="1" applyFill="1" applyBorder="1" applyAlignment="1">
      <alignment horizontal="right" vertical="center" wrapText="1"/>
    </xf>
    <xf numFmtId="10" fontId="48" fillId="48" borderId="16" xfId="0" applyNumberFormat="1" applyFont="1" applyFill="1" applyBorder="1" applyAlignment="1">
      <alignment horizontal="right" vertical="center" wrapText="1"/>
    </xf>
    <xf numFmtId="0" fontId="62" fillId="51" borderId="16" xfId="51" applyFont="1" applyFill="1" applyBorder="1" applyAlignment="1" applyProtection="1">
      <alignment horizontal="left" vertical="center" wrapText="1"/>
    </xf>
    <xf numFmtId="0" fontId="49" fillId="51" borderId="16" xfId="0" applyFont="1" applyFill="1" applyBorder="1" applyAlignment="1">
      <alignment horizontal="right" vertical="center" wrapText="1"/>
    </xf>
    <xf numFmtId="10" fontId="49" fillId="51" borderId="16" xfId="0" applyNumberFormat="1" applyFont="1" applyFill="1" applyBorder="1" applyAlignment="1">
      <alignment horizontal="right" vertical="center" wrapText="1"/>
    </xf>
    <xf numFmtId="0" fontId="48" fillId="48" borderId="16" xfId="0" applyFont="1" applyFill="1" applyBorder="1" applyAlignment="1">
      <alignment horizontal="right" vertical="center" wrapText="1"/>
    </xf>
    <xf numFmtId="0" fontId="50" fillId="52" borderId="16" xfId="0" applyFont="1" applyFill="1" applyBorder="1" applyAlignment="1">
      <alignment horizontal="center" vertical="center" wrapText="1"/>
    </xf>
    <xf numFmtId="4" fontId="48" fillId="52" borderId="16" xfId="0" applyNumberFormat="1" applyFont="1" applyFill="1" applyBorder="1" applyAlignment="1">
      <alignment horizontal="right" vertical="center" wrapText="1"/>
    </xf>
    <xf numFmtId="10" fontId="48" fillId="52" borderId="16" xfId="0" applyNumberFormat="1" applyFont="1" applyFill="1" applyBorder="1" applyAlignment="1">
      <alignment horizontal="right" vertical="center" wrapText="1"/>
    </xf>
    <xf numFmtId="0" fontId="48" fillId="52" borderId="16" xfId="0" applyFont="1" applyFill="1" applyBorder="1" applyAlignment="1">
      <alignment horizontal="right" vertical="center" wrapText="1"/>
    </xf>
    <xf numFmtId="4" fontId="36" fillId="57" borderId="10" xfId="0" applyNumberFormat="1" applyFont="1" applyFill="1" applyBorder="1" applyAlignment="1">
      <alignment horizontal="center" vertical="top" wrapText="1"/>
    </xf>
    <xf numFmtId="4" fontId="41" fillId="57" borderId="10" xfId="0" applyNumberFormat="1" applyFont="1" applyFill="1" applyBorder="1" applyAlignment="1">
      <alignment horizontal="right" vertical="top" wrapText="1"/>
    </xf>
    <xf numFmtId="4" fontId="36" fillId="57" borderId="10" xfId="0" applyNumberFormat="1" applyFont="1" applyFill="1" applyBorder="1" applyAlignment="1">
      <alignment horizontal="right" vertical="top" wrapText="1"/>
    </xf>
    <xf numFmtId="4" fontId="20" fillId="57" borderId="10" xfId="0" applyNumberFormat="1" applyFont="1" applyFill="1" applyBorder="1" applyAlignment="1">
      <alignment vertical="top"/>
    </xf>
    <xf numFmtId="4" fontId="35" fillId="0" borderId="11" xfId="0" applyNumberFormat="1" applyFont="1" applyBorder="1" applyAlignment="1">
      <alignment vertical="top" wrapText="1"/>
    </xf>
    <xf numFmtId="4" fontId="21" fillId="0" borderId="11" xfId="0" applyNumberFormat="1" applyFont="1" applyBorder="1" applyAlignment="1">
      <alignment horizontal="right" vertical="top" wrapText="1"/>
    </xf>
    <xf numFmtId="4" fontId="35" fillId="0" borderId="11" xfId="0" applyNumberFormat="1" applyFont="1" applyBorder="1" applyAlignment="1">
      <alignment horizontal="right" vertical="top" wrapText="1"/>
    </xf>
    <xf numFmtId="4" fontId="35" fillId="42" borderId="11" xfId="0" applyNumberFormat="1" applyFont="1" applyFill="1" applyBorder="1" applyAlignment="1">
      <alignment horizontal="right" vertical="top" wrapText="1"/>
    </xf>
    <xf numFmtId="0" fontId="36" fillId="58" borderId="10" xfId="0" applyFont="1" applyFill="1" applyBorder="1" applyAlignment="1">
      <alignment horizontal="center" vertical="center" wrapText="1"/>
    </xf>
    <xf numFmtId="0" fontId="70" fillId="46" borderId="0" xfId="0" applyFont="1" applyFill="1"/>
    <xf numFmtId="0" fontId="69" fillId="49" borderId="16" xfId="0" applyFont="1" applyFill="1" applyBorder="1" applyAlignment="1">
      <alignment horizontal="right" vertical="center" wrapText="1"/>
    </xf>
    <xf numFmtId="4" fontId="69" fillId="49" borderId="16" xfId="0" applyNumberFormat="1" applyFont="1" applyFill="1" applyBorder="1" applyAlignment="1">
      <alignment horizontal="right" vertical="center" wrapText="1"/>
    </xf>
    <xf numFmtId="10" fontId="69" fillId="49" borderId="16" xfId="0" applyNumberFormat="1" applyFont="1" applyFill="1" applyBorder="1" applyAlignment="1">
      <alignment horizontal="right" vertical="center" wrapText="1"/>
    </xf>
    <xf numFmtId="43" fontId="41" fillId="0" borderId="10" xfId="52" applyNumberFormat="1" applyFont="1" applyBorder="1" applyAlignment="1">
      <alignment horizontal="center" vertical="center"/>
    </xf>
    <xf numFmtId="4" fontId="42" fillId="0" borderId="10" xfId="52" applyNumberFormat="1" applyFont="1" applyFill="1" applyBorder="1"/>
    <xf numFmtId="0" fontId="24" fillId="0" borderId="10" xfId="0" applyFont="1" applyFill="1" applyBorder="1" applyAlignment="1">
      <alignment wrapText="1"/>
    </xf>
    <xf numFmtId="4" fontId="24" fillId="0" borderId="10" xfId="0" applyNumberFormat="1" applyFont="1" applyFill="1" applyBorder="1" applyAlignment="1">
      <alignment wrapText="1"/>
    </xf>
    <xf numFmtId="0" fontId="21" fillId="46" borderId="10" xfId="0" quotePrefix="1" applyFont="1" applyFill="1" applyBorder="1" applyAlignment="1">
      <alignment horizontal="center"/>
    </xf>
    <xf numFmtId="43" fontId="41" fillId="0" borderId="10" xfId="52" applyNumberFormat="1" applyFont="1" applyBorder="1" applyAlignment="1">
      <alignment horizontal="center" vertical="center" wrapText="1"/>
    </xf>
    <xf numFmtId="3" fontId="42" fillId="0" borderId="10" xfId="57" applyNumberFormat="1" applyFont="1" applyFill="1" applyBorder="1" applyAlignment="1">
      <alignment horizontal="center" vertical="top"/>
    </xf>
    <xf numFmtId="4" fontId="21" fillId="58" borderId="10" xfId="0" applyNumberFormat="1" applyFont="1" applyFill="1" applyBorder="1"/>
    <xf numFmtId="4" fontId="20" fillId="58" borderId="10" xfId="0" applyNumberFormat="1" applyFont="1" applyFill="1" applyBorder="1"/>
    <xf numFmtId="4" fontId="65" fillId="43" borderId="0" xfId="0" applyNumberFormat="1" applyFont="1" applyFill="1"/>
    <xf numFmtId="3" fontId="20" fillId="0" borderId="0" xfId="0" applyNumberFormat="1" applyFont="1" applyFill="1" applyBorder="1"/>
    <xf numFmtId="187" fontId="20" fillId="0" borderId="0" xfId="0" applyNumberFormat="1" applyFont="1" applyFill="1" applyBorder="1"/>
    <xf numFmtId="0" fontId="20" fillId="0" borderId="0" xfId="0" applyFont="1" applyFill="1" applyBorder="1" applyAlignment="1">
      <alignment horizontal="left"/>
    </xf>
    <xf numFmtId="0" fontId="21" fillId="46" borderId="10" xfId="0" applyFont="1" applyFill="1" applyBorder="1"/>
    <xf numFmtId="3" fontId="21" fillId="46" borderId="10" xfId="0" applyNumberFormat="1" applyFont="1" applyFill="1" applyBorder="1" applyAlignment="1">
      <alignment horizontal="right"/>
    </xf>
    <xf numFmtId="187" fontId="20" fillId="46" borderId="10" xfId="0" applyNumberFormat="1" applyFont="1" applyFill="1" applyBorder="1" applyAlignment="1">
      <alignment horizontal="right"/>
    </xf>
    <xf numFmtId="0" fontId="52" fillId="50" borderId="17" xfId="0" applyFont="1" applyFill="1" applyBorder="1" applyAlignment="1">
      <alignment horizontal="center" vertical="center" wrapText="1"/>
    </xf>
    <xf numFmtId="0" fontId="50" fillId="50" borderId="17" xfId="0" applyFont="1" applyFill="1" applyBorder="1" applyAlignment="1">
      <alignment horizontal="center" vertical="center" wrapText="1"/>
    </xf>
    <xf numFmtId="0" fontId="50" fillId="50" borderId="16" xfId="0" applyFont="1" applyFill="1" applyBorder="1" applyAlignment="1">
      <alignment horizontal="center" vertical="center" wrapText="1"/>
    </xf>
    <xf numFmtId="0" fontId="50" fillId="50" borderId="21" xfId="0" applyFont="1" applyFill="1" applyBorder="1" applyAlignment="1">
      <alignment horizontal="center" vertical="center" wrapText="1"/>
    </xf>
    <xf numFmtId="0" fontId="50" fillId="50" borderId="22" xfId="0" applyFont="1" applyFill="1" applyBorder="1" applyAlignment="1">
      <alignment horizontal="center" vertical="center" wrapText="1"/>
    </xf>
    <xf numFmtId="0" fontId="0" fillId="50" borderId="22" xfId="0" applyFill="1" applyBorder="1" applyAlignment="1">
      <alignment vertical="center" wrapText="1"/>
    </xf>
    <xf numFmtId="0" fontId="0" fillId="0" borderId="0" xfId="0" applyFill="1"/>
    <xf numFmtId="0" fontId="0" fillId="0" borderId="10" xfId="0" applyFill="1" applyBorder="1"/>
    <xf numFmtId="0" fontId="62" fillId="51" borderId="10" xfId="51" applyFont="1" applyFill="1" applyBorder="1" applyAlignment="1" applyProtection="1">
      <alignment horizontal="left" vertical="center" wrapText="1"/>
    </xf>
    <xf numFmtId="0" fontId="50" fillId="48" borderId="10" xfId="0" applyFont="1" applyFill="1" applyBorder="1" applyAlignment="1">
      <alignment horizontal="center" vertical="center" wrapText="1"/>
    </xf>
    <xf numFmtId="0" fontId="0" fillId="0" borderId="10" xfId="0" applyBorder="1"/>
    <xf numFmtId="0" fontId="14" fillId="0" borderId="10" xfId="0" applyFont="1" applyFill="1" applyBorder="1"/>
    <xf numFmtId="0" fontId="52" fillId="50" borderId="0" xfId="0" applyFont="1" applyFill="1" applyBorder="1" applyAlignment="1">
      <alignment horizontal="center" vertical="center" wrapText="1"/>
    </xf>
    <xf numFmtId="0" fontId="0" fillId="50" borderId="0" xfId="0" applyFill="1" applyBorder="1" applyAlignment="1">
      <alignment vertical="top" wrapText="1"/>
    </xf>
    <xf numFmtId="0" fontId="50" fillId="50" borderId="0" xfId="0" applyFont="1" applyFill="1" applyBorder="1" applyAlignment="1">
      <alignment horizontal="center" vertical="center" wrapText="1"/>
    </xf>
    <xf numFmtId="0" fontId="0" fillId="0" borderId="0" xfId="0" applyBorder="1"/>
    <xf numFmtId="0" fontId="50" fillId="50" borderId="29" xfId="0" applyFont="1" applyFill="1" applyBorder="1" applyAlignment="1">
      <alignment horizontal="center" vertical="center" wrapText="1"/>
    </xf>
    <xf numFmtId="0" fontId="0" fillId="50" borderId="21" xfId="0" applyFill="1" applyBorder="1" applyAlignment="1">
      <alignment vertical="center" wrapText="1"/>
    </xf>
    <xf numFmtId="0" fontId="48" fillId="51" borderId="10" xfId="0" applyFont="1" applyFill="1" applyBorder="1" applyAlignment="1">
      <alignment horizontal="right" vertical="center" wrapText="1"/>
    </xf>
    <xf numFmtId="4" fontId="48" fillId="51" borderId="10" xfId="0" applyNumberFormat="1" applyFont="1" applyFill="1" applyBorder="1" applyAlignment="1">
      <alignment horizontal="right" vertical="center" wrapText="1"/>
    </xf>
    <xf numFmtId="10" fontId="48" fillId="51" borderId="10" xfId="0" applyNumberFormat="1" applyFont="1" applyFill="1" applyBorder="1" applyAlignment="1">
      <alignment horizontal="right" vertical="center" wrapText="1"/>
    </xf>
    <xf numFmtId="0" fontId="48" fillId="49" borderId="10" xfId="0" applyFont="1" applyFill="1" applyBorder="1" applyAlignment="1">
      <alignment horizontal="right" vertical="center" wrapText="1"/>
    </xf>
    <xf numFmtId="4" fontId="48" fillId="49" borderId="10" xfId="0" applyNumberFormat="1" applyFont="1" applyFill="1" applyBorder="1" applyAlignment="1">
      <alignment horizontal="right" vertical="center" wrapText="1"/>
    </xf>
    <xf numFmtId="10" fontId="48" fillId="49" borderId="10" xfId="0" applyNumberFormat="1" applyFont="1" applyFill="1" applyBorder="1" applyAlignment="1">
      <alignment horizontal="right" vertical="center" wrapText="1"/>
    </xf>
    <xf numFmtId="0" fontId="49" fillId="51" borderId="10" xfId="0" applyFont="1" applyFill="1" applyBorder="1" applyAlignment="1">
      <alignment horizontal="right" vertical="center" wrapText="1"/>
    </xf>
    <xf numFmtId="4" fontId="49" fillId="51" borderId="10" xfId="0" applyNumberFormat="1" applyFont="1" applyFill="1" applyBorder="1" applyAlignment="1">
      <alignment horizontal="right" vertical="center" wrapText="1"/>
    </xf>
    <xf numFmtId="10" fontId="49" fillId="51" borderId="10" xfId="0" applyNumberFormat="1" applyFont="1" applyFill="1" applyBorder="1" applyAlignment="1">
      <alignment horizontal="right" vertical="center" wrapText="1"/>
    </xf>
    <xf numFmtId="0" fontId="14" fillId="0" borderId="10" xfId="0" applyFont="1" applyBorder="1"/>
    <xf numFmtId="0" fontId="49" fillId="49" borderId="10" xfId="0" applyFont="1" applyFill="1" applyBorder="1" applyAlignment="1">
      <alignment horizontal="right" vertical="center" wrapText="1"/>
    </xf>
    <xf numFmtId="4" fontId="49" fillId="49" borderId="10" xfId="0" applyNumberFormat="1" applyFont="1" applyFill="1" applyBorder="1" applyAlignment="1">
      <alignment horizontal="right" vertical="center" wrapText="1"/>
    </xf>
    <xf numFmtId="10" fontId="49" fillId="49" borderId="10" xfId="0" applyNumberFormat="1" applyFont="1" applyFill="1" applyBorder="1" applyAlignment="1">
      <alignment horizontal="right" vertical="center" wrapText="1"/>
    </xf>
    <xf numFmtId="4" fontId="48" fillId="48" borderId="10" xfId="0" applyNumberFormat="1" applyFont="1" applyFill="1" applyBorder="1" applyAlignment="1">
      <alignment horizontal="right" vertical="center" wrapText="1"/>
    </xf>
    <xf numFmtId="10" fontId="48" fillId="48" borderId="10" xfId="0" applyNumberFormat="1" applyFont="1" applyFill="1" applyBorder="1" applyAlignment="1">
      <alignment horizontal="right" vertical="center" wrapText="1"/>
    </xf>
    <xf numFmtId="0" fontId="48" fillId="49" borderId="22" xfId="0" applyFont="1" applyFill="1" applyBorder="1" applyAlignment="1">
      <alignment horizontal="right" vertical="center" wrapText="1"/>
    </xf>
    <xf numFmtId="4" fontId="48" fillId="49" borderId="22" xfId="0" applyNumberFormat="1" applyFont="1" applyFill="1" applyBorder="1" applyAlignment="1">
      <alignment horizontal="right" vertical="center" wrapText="1"/>
    </xf>
    <xf numFmtId="10" fontId="48" fillId="49" borderId="22" xfId="0" applyNumberFormat="1" applyFont="1" applyFill="1" applyBorder="1" applyAlignment="1">
      <alignment horizontal="right" vertical="center" wrapText="1"/>
    </xf>
    <xf numFmtId="0" fontId="48" fillId="51" borderId="17" xfId="0" applyFont="1" applyFill="1" applyBorder="1" applyAlignment="1">
      <alignment horizontal="right" vertical="center" wrapText="1"/>
    </xf>
    <xf numFmtId="4" fontId="48" fillId="51" borderId="17" xfId="0" applyNumberFormat="1" applyFont="1" applyFill="1" applyBorder="1" applyAlignment="1">
      <alignment horizontal="right" vertical="center" wrapText="1"/>
    </xf>
    <xf numFmtId="10" fontId="48" fillId="51" borderId="17" xfId="0" applyNumberFormat="1" applyFont="1" applyFill="1" applyBorder="1" applyAlignment="1">
      <alignment horizontal="right" vertical="center" wrapText="1"/>
    </xf>
    <xf numFmtId="0" fontId="48" fillId="49" borderId="17" xfId="0" applyFont="1" applyFill="1" applyBorder="1" applyAlignment="1">
      <alignment horizontal="right" vertical="center" wrapText="1"/>
    </xf>
    <xf numFmtId="4" fontId="48" fillId="49" borderId="17" xfId="0" applyNumberFormat="1" applyFont="1" applyFill="1" applyBorder="1" applyAlignment="1">
      <alignment horizontal="right" vertical="center" wrapText="1"/>
    </xf>
    <xf numFmtId="10" fontId="48" fillId="49" borderId="17" xfId="0" applyNumberFormat="1" applyFont="1" applyFill="1" applyBorder="1" applyAlignment="1">
      <alignment horizontal="right" vertical="center" wrapText="1"/>
    </xf>
    <xf numFmtId="0" fontId="48" fillId="51" borderId="22" xfId="0" applyFont="1" applyFill="1" applyBorder="1" applyAlignment="1">
      <alignment horizontal="right" vertical="center" wrapText="1"/>
    </xf>
    <xf numFmtId="4" fontId="48" fillId="51" borderId="22" xfId="0" applyNumberFormat="1" applyFont="1" applyFill="1" applyBorder="1" applyAlignment="1">
      <alignment horizontal="right" vertical="center" wrapText="1"/>
    </xf>
    <xf numFmtId="10" fontId="48" fillId="51" borderId="22" xfId="0" applyNumberFormat="1" applyFont="1" applyFill="1" applyBorder="1" applyAlignment="1">
      <alignment horizontal="right" vertical="center" wrapText="1"/>
    </xf>
    <xf numFmtId="0" fontId="36" fillId="46" borderId="10" xfId="0" applyFont="1" applyFill="1" applyBorder="1" applyAlignment="1">
      <alignment vertical="center" wrapText="1"/>
    </xf>
    <xf numFmtId="0" fontId="50" fillId="50" borderId="17" xfId="0" applyFont="1" applyFill="1" applyBorder="1" applyAlignment="1">
      <alignment horizontal="center" vertical="center" wrapText="1"/>
    </xf>
    <xf numFmtId="0" fontId="50" fillId="50" borderId="22" xfId="0" applyFont="1" applyFill="1" applyBorder="1" applyAlignment="1">
      <alignment horizontal="center" vertical="center" wrapText="1"/>
    </xf>
    <xf numFmtId="0" fontId="14" fillId="0" borderId="11" xfId="0" applyFont="1" applyFill="1" applyBorder="1"/>
    <xf numFmtId="0" fontId="49" fillId="49" borderId="29" xfId="0" applyFont="1" applyFill="1" applyBorder="1" applyAlignment="1">
      <alignment horizontal="right" vertical="center" wrapText="1"/>
    </xf>
    <xf numFmtId="10" fontId="49" fillId="49" borderId="17" xfId="0" applyNumberFormat="1" applyFont="1" applyFill="1" applyBorder="1" applyAlignment="1">
      <alignment horizontal="right" vertical="center" wrapText="1"/>
    </xf>
    <xf numFmtId="0" fontId="50" fillId="48" borderId="22" xfId="0" applyFont="1" applyFill="1" applyBorder="1" applyAlignment="1">
      <alignment horizontal="center" vertical="center" wrapText="1"/>
    </xf>
    <xf numFmtId="0" fontId="48" fillId="48" borderId="22" xfId="0" applyFont="1" applyFill="1" applyBorder="1" applyAlignment="1">
      <alignment horizontal="right" vertical="center" wrapText="1"/>
    </xf>
    <xf numFmtId="4" fontId="48" fillId="48" borderId="22" xfId="0" applyNumberFormat="1" applyFont="1" applyFill="1" applyBorder="1" applyAlignment="1">
      <alignment horizontal="right" vertical="center" wrapText="1"/>
    </xf>
    <xf numFmtId="10" fontId="48" fillId="48" borderId="22" xfId="0" applyNumberFormat="1" applyFont="1" applyFill="1" applyBorder="1" applyAlignment="1">
      <alignment horizontal="right" vertical="center" wrapText="1"/>
    </xf>
    <xf numFmtId="4" fontId="36" fillId="60" borderId="10" xfId="0" applyNumberFormat="1" applyFont="1" applyFill="1" applyBorder="1" applyAlignment="1">
      <alignment horizontal="center" wrapText="1"/>
    </xf>
    <xf numFmtId="4" fontId="36" fillId="60" borderId="10" xfId="0" applyNumberFormat="1" applyFont="1" applyFill="1" applyBorder="1" applyAlignment="1">
      <alignment horizontal="right" wrapText="1"/>
    </xf>
    <xf numFmtId="4" fontId="36" fillId="60" borderId="10" xfId="0" applyNumberFormat="1" applyFont="1" applyFill="1" applyBorder="1" applyAlignment="1">
      <alignment wrapText="1"/>
    </xf>
    <xf numFmtId="4" fontId="20" fillId="60" borderId="10" xfId="0" applyNumberFormat="1" applyFont="1" applyFill="1" applyBorder="1"/>
    <xf numFmtId="0" fontId="36" fillId="59" borderId="10" xfId="0" applyFont="1" applyFill="1" applyBorder="1" applyAlignment="1">
      <alignment vertical="center" wrapText="1"/>
    </xf>
    <xf numFmtId="4" fontId="36" fillId="59" borderId="10" xfId="0" applyNumberFormat="1" applyFont="1" applyFill="1" applyBorder="1" applyAlignment="1">
      <alignment horizontal="right" vertical="center" wrapText="1"/>
    </xf>
    <xf numFmtId="4" fontId="20" fillId="59" borderId="10" xfId="0" applyNumberFormat="1" applyFont="1" applyFill="1" applyBorder="1"/>
    <xf numFmtId="0" fontId="36" fillId="60" borderId="10" xfId="0" applyFont="1" applyFill="1" applyBorder="1" applyAlignment="1">
      <alignment vertical="top" wrapText="1"/>
    </xf>
    <xf numFmtId="4" fontId="36" fillId="60" borderId="10" xfId="0" applyNumberFormat="1" applyFont="1" applyFill="1" applyBorder="1" applyAlignment="1">
      <alignment horizontal="right" vertical="top" wrapText="1"/>
    </xf>
    <xf numFmtId="4" fontId="20" fillId="60" borderId="10" xfId="0" applyNumberFormat="1" applyFont="1" applyFill="1" applyBorder="1" applyAlignment="1">
      <alignment vertical="center"/>
    </xf>
    <xf numFmtId="0" fontId="21" fillId="55" borderId="10" xfId="0" applyFont="1" applyFill="1" applyBorder="1"/>
    <xf numFmtId="0" fontId="20" fillId="55" borderId="10" xfId="0" applyFont="1" applyFill="1" applyBorder="1"/>
    <xf numFmtId="2" fontId="21" fillId="0" borderId="10" xfId="0" applyNumberFormat="1" applyFont="1" applyBorder="1" applyAlignment="1">
      <alignment vertical="top"/>
    </xf>
    <xf numFmtId="0" fontId="20" fillId="57" borderId="10" xfId="0" applyFont="1" applyFill="1" applyBorder="1" applyAlignment="1">
      <alignment vertical="top"/>
    </xf>
    <xf numFmtId="0" fontId="72" fillId="0" borderId="16" xfId="51" applyFont="1" applyBorder="1" applyAlignment="1" applyProtection="1">
      <alignment horizontal="left" vertical="center" wrapText="1"/>
    </xf>
    <xf numFmtId="0" fontId="69" fillId="0" borderId="16" xfId="0" applyFont="1" applyBorder="1" applyAlignment="1">
      <alignment horizontal="right" vertical="center" wrapText="1"/>
    </xf>
    <xf numFmtId="10" fontId="69" fillId="0" borderId="16" xfId="0" applyNumberFormat="1" applyFont="1" applyBorder="1" applyAlignment="1">
      <alignment horizontal="right" vertical="center" wrapText="1"/>
    </xf>
    <xf numFmtId="0" fontId="72" fillId="49" borderId="16" xfId="51" applyFont="1" applyFill="1" applyBorder="1" applyAlignment="1" applyProtection="1">
      <alignment horizontal="left" vertical="center" wrapText="1"/>
    </xf>
    <xf numFmtId="0" fontId="72" fillId="51" borderId="16" xfId="51" applyFont="1" applyFill="1" applyBorder="1" applyAlignment="1" applyProtection="1">
      <alignment horizontal="left" vertical="center" wrapText="1"/>
    </xf>
    <xf numFmtId="0" fontId="69" fillId="51" borderId="16" xfId="0" applyFont="1" applyFill="1" applyBorder="1" applyAlignment="1">
      <alignment horizontal="right" vertical="center" wrapText="1"/>
    </xf>
    <xf numFmtId="10" fontId="69" fillId="51" borderId="16" xfId="0" applyNumberFormat="1" applyFont="1" applyFill="1" applyBorder="1" applyAlignment="1">
      <alignment horizontal="right" vertical="center" wrapText="1"/>
    </xf>
    <xf numFmtId="0" fontId="50" fillId="50" borderId="17" xfId="0" applyFont="1" applyFill="1" applyBorder="1" applyAlignment="1">
      <alignment horizontal="center" vertical="center" wrapText="1"/>
    </xf>
    <xf numFmtId="0" fontId="50" fillId="50" borderId="21" xfId="0" applyFont="1" applyFill="1" applyBorder="1" applyAlignment="1">
      <alignment horizontal="center" vertical="center" wrapText="1"/>
    </xf>
    <xf numFmtId="0" fontId="21" fillId="37" borderId="0" xfId="0" applyFont="1" applyFill="1"/>
    <xf numFmtId="0" fontId="65" fillId="43" borderId="0" xfId="0" applyFont="1" applyFill="1"/>
    <xf numFmtId="0" fontId="27" fillId="0" borderId="0" xfId="0" applyFont="1" applyAlignment="1">
      <alignment horizontal="left"/>
    </xf>
    <xf numFmtId="4" fontId="73" fillId="51" borderId="10" xfId="0" applyNumberFormat="1" applyFont="1" applyFill="1" applyBorder="1" applyAlignment="1">
      <alignment horizontal="right" vertical="center" wrapText="1"/>
    </xf>
    <xf numFmtId="0" fontId="16" fillId="0" borderId="0" xfId="0" applyFont="1"/>
    <xf numFmtId="4" fontId="73" fillId="48" borderId="10" xfId="0" applyNumberFormat="1" applyFont="1" applyFill="1" applyBorder="1" applyAlignment="1">
      <alignment horizontal="right" vertical="center" wrapText="1"/>
    </xf>
    <xf numFmtId="4" fontId="74" fillId="51" borderId="10" xfId="0" applyNumberFormat="1" applyFont="1" applyFill="1" applyBorder="1" applyAlignment="1">
      <alignment horizontal="right" vertical="center" wrapText="1"/>
    </xf>
    <xf numFmtId="0" fontId="75" fillId="0" borderId="10" xfId="0" applyFont="1" applyFill="1" applyBorder="1"/>
    <xf numFmtId="4" fontId="74" fillId="49" borderId="10" xfId="0" applyNumberFormat="1" applyFont="1" applyFill="1" applyBorder="1" applyAlignment="1">
      <alignment horizontal="right" vertical="center" wrapText="1"/>
    </xf>
    <xf numFmtId="10" fontId="74" fillId="51" borderId="10" xfId="0" applyNumberFormat="1" applyFont="1" applyFill="1" applyBorder="1" applyAlignment="1">
      <alignment horizontal="right" vertical="center" wrapText="1"/>
    </xf>
    <xf numFmtId="0" fontId="75" fillId="0" borderId="10" xfId="0" applyFont="1" applyBorder="1"/>
    <xf numFmtId="4" fontId="0" fillId="0" borderId="0" xfId="0" applyNumberFormat="1" applyFont="1"/>
    <xf numFmtId="4" fontId="42" fillId="0" borderId="10" xfId="52" quotePrefix="1" applyNumberFormat="1" applyFont="1" applyFill="1" applyBorder="1" applyAlignment="1">
      <alignment horizontal="center"/>
    </xf>
    <xf numFmtId="4" fontId="21" fillId="0" borderId="10" xfId="0" applyNumberFormat="1" applyFont="1" applyFill="1" applyBorder="1" applyAlignment="1">
      <alignment wrapText="1"/>
    </xf>
    <xf numFmtId="0" fontId="76" fillId="0" borderId="0" xfId="0" applyFont="1"/>
    <xf numFmtId="4" fontId="76" fillId="0" borderId="0" xfId="0" applyNumberFormat="1" applyFont="1"/>
    <xf numFmtId="43" fontId="42" fillId="0" borderId="10" xfId="67" applyFont="1" applyBorder="1"/>
    <xf numFmtId="43" fontId="42" fillId="0" borderId="10" xfId="42" applyNumberFormat="1" applyFont="1" applyBorder="1"/>
    <xf numFmtId="4" fontId="20" fillId="0" borderId="10" xfId="0" applyNumberFormat="1" applyFont="1" applyFill="1" applyBorder="1"/>
    <xf numFmtId="43" fontId="24" fillId="0" borderId="0" xfId="0" applyNumberFormat="1" applyFont="1" applyAlignment="1">
      <alignment wrapText="1"/>
    </xf>
    <xf numFmtId="4" fontId="42" fillId="0" borderId="10" xfId="43" applyNumberFormat="1" applyFont="1" applyFill="1" applyBorder="1" applyAlignment="1">
      <alignment horizontal="right" vertical="top"/>
    </xf>
    <xf numFmtId="4" fontId="42" fillId="0" borderId="10" xfId="0" applyNumberFormat="1" applyFont="1" applyFill="1" applyBorder="1" applyAlignment="1">
      <alignment vertical="top" wrapText="1"/>
    </xf>
    <xf numFmtId="0" fontId="42" fillId="0" borderId="10" xfId="57" applyFont="1" applyFill="1" applyBorder="1" applyAlignment="1">
      <alignment vertical="top" shrinkToFit="1"/>
    </xf>
    <xf numFmtId="188" fontId="42" fillId="0" borderId="10" xfId="52" applyNumberFormat="1" applyFont="1" applyFill="1" applyBorder="1" applyAlignment="1">
      <alignment horizontal="right" vertical="top" shrinkToFit="1"/>
    </xf>
    <xf numFmtId="4" fontId="42" fillId="0" borderId="10" xfId="57" quotePrefix="1" applyNumberFormat="1" applyFont="1" applyFill="1" applyBorder="1" applyAlignment="1">
      <alignment horizontal="right" vertical="top"/>
    </xf>
    <xf numFmtId="0" fontId="42" fillId="0" borderId="10" xfId="57" applyFont="1" applyFill="1" applyBorder="1" applyAlignment="1">
      <alignment horizontal="left" vertical="top" wrapText="1"/>
    </xf>
    <xf numFmtId="4" fontId="42" fillId="0" borderId="10" xfId="59" applyNumberFormat="1" applyFont="1" applyFill="1" applyBorder="1" applyAlignment="1">
      <alignment horizontal="right" vertical="top"/>
    </xf>
    <xf numFmtId="4" fontId="21" fillId="0" borderId="10" xfId="0" applyNumberFormat="1" applyFont="1" applyFill="1" applyBorder="1" applyAlignment="1">
      <alignment vertical="top" wrapText="1"/>
    </xf>
    <xf numFmtId="0" fontId="42" fillId="0" borderId="10" xfId="57" applyFont="1" applyFill="1" applyBorder="1" applyAlignment="1">
      <alignment vertical="top"/>
    </xf>
    <xf numFmtId="0" fontId="20" fillId="39" borderId="31" xfId="0" applyFont="1" applyFill="1" applyBorder="1" applyAlignment="1">
      <alignment horizontal="center" vertical="center" wrapText="1"/>
    </xf>
    <xf numFmtId="0" fontId="20" fillId="61" borderId="30" xfId="0" applyFont="1" applyFill="1" applyBorder="1" applyAlignment="1">
      <alignment vertical="center" wrapText="1"/>
    </xf>
    <xf numFmtId="0" fontId="21" fillId="61" borderId="30" xfId="0" applyFont="1" applyFill="1" applyBorder="1" applyAlignment="1">
      <alignment horizontal="center" vertical="center" wrapText="1"/>
    </xf>
    <xf numFmtId="0" fontId="20" fillId="62" borderId="30" xfId="0" applyFont="1" applyFill="1" applyBorder="1" applyAlignment="1">
      <alignment vertical="center" wrapText="1"/>
    </xf>
    <xf numFmtId="0" fontId="21" fillId="62" borderId="30" xfId="0" applyFont="1" applyFill="1" applyBorder="1" applyAlignment="1">
      <alignment horizontal="center" vertical="center" wrapText="1"/>
    </xf>
    <xf numFmtId="4" fontId="20" fillId="39" borderId="31" xfId="0" applyNumberFormat="1" applyFont="1" applyFill="1" applyBorder="1" applyAlignment="1">
      <alignment horizontal="center" vertical="center" wrapText="1"/>
    </xf>
    <xf numFmtId="4" fontId="21" fillId="61" borderId="30" xfId="0" applyNumberFormat="1" applyFont="1" applyFill="1" applyBorder="1" applyAlignment="1">
      <alignment horizontal="center" vertical="center" wrapText="1"/>
    </xf>
    <xf numFmtId="4" fontId="21" fillId="62" borderId="30" xfId="0" applyNumberFormat="1" applyFont="1" applyFill="1" applyBorder="1" applyAlignment="1">
      <alignment horizontal="center" vertical="center" wrapText="1"/>
    </xf>
    <xf numFmtId="3" fontId="21" fillId="61" borderId="30" xfId="0" applyNumberFormat="1" applyFont="1" applyFill="1" applyBorder="1" applyAlignment="1">
      <alignment horizontal="center" vertical="center" wrapText="1"/>
    </xf>
    <xf numFmtId="0" fontId="21" fillId="62" borderId="30" xfId="0" applyFont="1" applyFill="1" applyBorder="1" applyAlignment="1">
      <alignment vertical="center" wrapText="1"/>
    </xf>
    <xf numFmtId="4" fontId="69" fillId="51" borderId="16" xfId="0" applyNumberFormat="1" applyFont="1" applyFill="1" applyBorder="1" applyAlignment="1">
      <alignment horizontal="right" vertical="center" wrapText="1"/>
    </xf>
    <xf numFmtId="0" fontId="20" fillId="37" borderId="0" xfId="0" applyFont="1" applyFill="1" applyAlignment="1">
      <alignment horizontal="right" vertical="center" wrapText="1"/>
    </xf>
    <xf numFmtId="0" fontId="29" fillId="0" borderId="0" xfId="0" applyFont="1" applyAlignment="1">
      <alignment horizontal="center"/>
    </xf>
    <xf numFmtId="0" fontId="43" fillId="43" borderId="0" xfId="0" applyFont="1" applyFill="1" applyAlignment="1">
      <alignment horizontal="right"/>
    </xf>
    <xf numFmtId="0" fontId="30" fillId="0" borderId="0" xfId="0" applyFont="1" applyAlignment="1">
      <alignment horizontal="center"/>
    </xf>
    <xf numFmtId="0" fontId="25" fillId="0" borderId="0" xfId="0" applyFont="1" applyAlignment="1">
      <alignment horizontal="center" vertical="center"/>
    </xf>
    <xf numFmtId="0" fontId="21" fillId="0" borderId="0" xfId="0" applyFont="1" applyAlignment="1">
      <alignment horizontal="left" vertical="top" wrapText="1"/>
    </xf>
    <xf numFmtId="0" fontId="40" fillId="0" borderId="0" xfId="0" applyFont="1" applyAlignment="1">
      <alignment horizontal="center"/>
    </xf>
    <xf numFmtId="0" fontId="24" fillId="0" borderId="0" xfId="0" applyFont="1" applyAlignment="1">
      <alignment horizontal="center" vertical="top"/>
    </xf>
    <xf numFmtId="4" fontId="21" fillId="0" borderId="0" xfId="0" applyNumberFormat="1" applyFont="1" applyAlignment="1">
      <alignment horizontal="left" vertical="top" wrapText="1"/>
    </xf>
    <xf numFmtId="0" fontId="21" fillId="0" borderId="0" xfId="0" applyFont="1" applyAlignment="1" applyProtection="1">
      <alignment horizontal="left" vertical="top" wrapText="1"/>
      <protection locked="0"/>
    </xf>
    <xf numFmtId="0" fontId="36" fillId="0" borderId="0" xfId="0" applyFont="1" applyAlignment="1">
      <alignment horizontal="center"/>
    </xf>
    <xf numFmtId="0" fontId="36" fillId="36" borderId="11"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6" borderId="12" xfId="0" applyFont="1" applyFill="1" applyBorder="1" applyAlignment="1">
      <alignment horizontal="center" vertical="center" wrapText="1"/>
    </xf>
    <xf numFmtId="0" fontId="39" fillId="34" borderId="11"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39" fillId="34" borderId="23" xfId="0" applyFont="1" applyFill="1" applyBorder="1" applyAlignment="1">
      <alignment horizontal="center" vertical="center" wrapText="1"/>
    </xf>
    <xf numFmtId="0" fontId="39" fillId="34" borderId="12" xfId="0" applyFont="1" applyFill="1" applyBorder="1" applyAlignment="1">
      <alignment horizontal="center" vertical="center" wrapText="1"/>
    </xf>
    <xf numFmtId="0" fontId="36" fillId="36" borderId="10" xfId="0" applyFont="1" applyFill="1" applyBorder="1" applyAlignment="1">
      <alignment horizontal="center" wrapText="1"/>
    </xf>
    <xf numFmtId="2" fontId="36" fillId="36" borderId="10" xfId="0" applyNumberFormat="1" applyFont="1" applyFill="1" applyBorder="1" applyAlignment="1">
      <alignment horizontal="right" wrapText="1"/>
    </xf>
    <xf numFmtId="2" fontId="36" fillId="36" borderId="13" xfId="0" applyNumberFormat="1" applyFont="1" applyFill="1" applyBorder="1" applyAlignment="1">
      <alignment horizontal="right" wrapText="1"/>
    </xf>
    <xf numFmtId="2" fontId="36" fillId="36" borderId="15" xfId="0" applyNumberFormat="1" applyFont="1" applyFill="1" applyBorder="1" applyAlignment="1">
      <alignment horizontal="right" wrapText="1"/>
    </xf>
    <xf numFmtId="0" fontId="36" fillId="34" borderId="10" xfId="0" applyFont="1" applyFill="1" applyBorder="1" applyAlignment="1">
      <alignment horizontal="center" vertical="center" wrapText="1"/>
    </xf>
    <xf numFmtId="0" fontId="36" fillId="36" borderId="13" xfId="0" applyFont="1" applyFill="1" applyBorder="1" applyAlignment="1">
      <alignment horizontal="center" wrapText="1"/>
    </xf>
    <xf numFmtId="0" fontId="36" fillId="36" borderId="14" xfId="0" applyFont="1" applyFill="1" applyBorder="1" applyAlignment="1">
      <alignment horizontal="center" wrapText="1"/>
    </xf>
    <xf numFmtId="0" fontId="36" fillId="36" borderId="15" xfId="0" applyFont="1" applyFill="1" applyBorder="1" applyAlignment="1">
      <alignment horizontal="center" wrapText="1"/>
    </xf>
    <xf numFmtId="0" fontId="33" fillId="43" borderId="0" xfId="0" applyFont="1" applyFill="1" applyAlignment="1">
      <alignment horizontal="right" wrapText="1"/>
    </xf>
    <xf numFmtId="0" fontId="33" fillId="43" borderId="0" xfId="0" applyFont="1" applyFill="1" applyAlignment="1">
      <alignment horizontal="center" wrapText="1"/>
    </xf>
    <xf numFmtId="0" fontId="22" fillId="0" borderId="0" xfId="0" applyFont="1" applyAlignment="1">
      <alignment horizontal="left" vertical="top" wrapText="1"/>
    </xf>
    <xf numFmtId="0" fontId="21" fillId="0" borderId="0" xfId="0" applyFont="1" applyAlignment="1">
      <alignment horizontal="left" wrapText="1"/>
    </xf>
    <xf numFmtId="0" fontId="24" fillId="0" borderId="0" xfId="0" applyFont="1" applyAlignment="1">
      <alignment vertical="top" wrapText="1"/>
    </xf>
    <xf numFmtId="0" fontId="20" fillId="0" borderId="0" xfId="0" applyFont="1" applyAlignment="1">
      <alignment horizontal="left"/>
    </xf>
    <xf numFmtId="0" fontId="20" fillId="46" borderId="13" xfId="0" applyFont="1" applyFill="1" applyBorder="1" applyAlignment="1">
      <alignment horizontal="center"/>
    </xf>
    <xf numFmtId="0" fontId="20" fillId="46" borderId="15" xfId="0" applyFont="1" applyFill="1" applyBorder="1" applyAlignment="1">
      <alignment horizontal="center"/>
    </xf>
    <xf numFmtId="0" fontId="20" fillId="56" borderId="13" xfId="0" applyFont="1" applyFill="1" applyBorder="1" applyAlignment="1">
      <alignment horizontal="center"/>
    </xf>
    <xf numFmtId="0" fontId="20" fillId="56" borderId="15" xfId="0" applyFont="1" applyFill="1" applyBorder="1" applyAlignment="1">
      <alignment horizontal="center"/>
    </xf>
    <xf numFmtId="0" fontId="24" fillId="0" borderId="0" xfId="0" applyFont="1" applyAlignment="1">
      <alignment horizontal="left" vertical="top" wrapText="1"/>
    </xf>
    <xf numFmtId="0" fontId="20" fillId="56" borderId="10" xfId="0" applyFont="1" applyFill="1" applyBorder="1" applyAlignment="1">
      <alignment horizontal="center"/>
    </xf>
    <xf numFmtId="3" fontId="41" fillId="0" borderId="13" xfId="57" applyNumberFormat="1" applyFont="1" applyBorder="1" applyAlignment="1">
      <alignment horizontal="center" vertical="top"/>
    </xf>
    <xf numFmtId="3" fontId="41" fillId="0" borderId="14" xfId="57" applyNumberFormat="1" applyFont="1" applyBorder="1" applyAlignment="1">
      <alignment horizontal="center" vertical="top"/>
    </xf>
    <xf numFmtId="3" fontId="41" fillId="0" borderId="15" xfId="57" applyNumberFormat="1" applyFont="1" applyBorder="1" applyAlignment="1">
      <alignment horizontal="center" vertical="top"/>
    </xf>
    <xf numFmtId="0" fontId="41" fillId="46" borderId="11" xfId="57" applyFont="1" applyFill="1" applyBorder="1" applyAlignment="1">
      <alignment horizontal="center" vertical="center" wrapText="1"/>
    </xf>
    <xf numFmtId="0" fontId="41" fillId="46" borderId="12" xfId="57" applyFont="1" applyFill="1" applyBorder="1" applyAlignment="1">
      <alignment horizontal="center" vertical="center" wrapText="1"/>
    </xf>
    <xf numFmtId="0" fontId="41" fillId="46" borderId="11" xfId="57" applyFont="1" applyFill="1" applyBorder="1" applyAlignment="1">
      <alignment horizontal="center" vertical="center"/>
    </xf>
    <xf numFmtId="0" fontId="41" fillId="46" borderId="12" xfId="57" applyFont="1" applyFill="1" applyBorder="1" applyAlignment="1">
      <alignment horizontal="center" vertical="center"/>
    </xf>
    <xf numFmtId="0" fontId="41" fillId="46" borderId="13" xfId="57" applyFont="1" applyFill="1" applyBorder="1" applyAlignment="1">
      <alignment horizontal="center" vertical="top"/>
    </xf>
    <xf numFmtId="0" fontId="41" fillId="46" borderId="15" xfId="57" applyFont="1" applyFill="1" applyBorder="1" applyAlignment="1">
      <alignment horizontal="center" vertical="top"/>
    </xf>
    <xf numFmtId="0" fontId="41" fillId="46" borderId="10" xfId="57" applyFont="1" applyFill="1" applyBorder="1" applyAlignment="1">
      <alignment horizontal="center" vertical="center"/>
    </xf>
    <xf numFmtId="0" fontId="41" fillId="46" borderId="10" xfId="57" applyFont="1" applyFill="1" applyBorder="1" applyAlignment="1">
      <alignment horizontal="center" vertical="center" wrapText="1"/>
    </xf>
    <xf numFmtId="0" fontId="41" fillId="46" borderId="10" xfId="57" applyFont="1" applyFill="1" applyBorder="1" applyAlignment="1">
      <alignment horizontal="center" vertical="top"/>
    </xf>
    <xf numFmtId="4" fontId="41" fillId="0" borderId="0" xfId="57" applyNumberFormat="1" applyFont="1" applyFill="1" applyBorder="1" applyAlignment="1">
      <alignment horizontal="left" vertical="top" wrapText="1"/>
    </xf>
    <xf numFmtId="0" fontId="36" fillId="59" borderId="10" xfId="0" applyFont="1" applyFill="1" applyBorder="1" applyAlignment="1">
      <alignment vertical="center" wrapText="1"/>
    </xf>
    <xf numFmtId="0" fontId="36" fillId="33" borderId="10" xfId="0" applyFont="1" applyFill="1" applyBorder="1" applyAlignment="1">
      <alignment horizontal="center" vertical="center" wrapText="1"/>
    </xf>
    <xf numFmtId="0" fontId="36" fillId="46" borderId="10" xfId="0" applyFont="1" applyFill="1" applyBorder="1" applyAlignment="1">
      <alignment vertical="center" wrapText="1"/>
    </xf>
    <xf numFmtId="0" fontId="36" fillId="0" borderId="10" xfId="0" applyFont="1" applyBorder="1" applyAlignment="1">
      <alignment vertical="center" wrapText="1"/>
    </xf>
    <xf numFmtId="0" fontId="36" fillId="0" borderId="10" xfId="0" applyFont="1" applyFill="1" applyBorder="1" applyAlignment="1">
      <alignment vertical="center" wrapText="1"/>
    </xf>
    <xf numFmtId="0" fontId="36" fillId="35" borderId="10" xfId="0" applyFont="1" applyFill="1" applyBorder="1" applyAlignment="1">
      <alignment horizontal="center" vertical="center" wrapText="1"/>
    </xf>
    <xf numFmtId="4" fontId="19" fillId="35" borderId="11" xfId="0" applyNumberFormat="1" applyFont="1" applyFill="1" applyBorder="1" applyAlignment="1">
      <alignment horizontal="center" vertical="center" wrapText="1"/>
    </xf>
    <xf numFmtId="4" fontId="19" fillId="35" borderId="12" xfId="0" applyNumberFormat="1" applyFont="1" applyFill="1" applyBorder="1" applyAlignment="1">
      <alignment horizontal="center" vertical="center" wrapText="1"/>
    </xf>
    <xf numFmtId="4" fontId="20" fillId="35" borderId="11" xfId="0" applyNumberFormat="1" applyFont="1" applyFill="1" applyBorder="1" applyAlignment="1">
      <alignment horizontal="center" vertical="center" wrapText="1"/>
    </xf>
    <xf numFmtId="4" fontId="20" fillId="35" borderId="12" xfId="0" applyNumberFormat="1" applyFont="1" applyFill="1" applyBorder="1" applyAlignment="1">
      <alignment horizontal="center" vertical="center" wrapText="1"/>
    </xf>
    <xf numFmtId="4" fontId="20" fillId="35" borderId="13" xfId="0" applyNumberFormat="1" applyFont="1" applyFill="1" applyBorder="1" applyAlignment="1">
      <alignment horizontal="center" vertical="center" wrapText="1"/>
    </xf>
    <xf numFmtId="4" fontId="20" fillId="35" borderId="14" xfId="0" applyNumberFormat="1" applyFont="1" applyFill="1" applyBorder="1" applyAlignment="1">
      <alignment horizontal="center" vertical="center" wrapText="1"/>
    </xf>
    <xf numFmtId="4" fontId="20" fillId="35" borderId="15" xfId="0" applyNumberFormat="1" applyFont="1" applyFill="1" applyBorder="1" applyAlignment="1">
      <alignment horizontal="center" vertical="center" wrapText="1"/>
    </xf>
    <xf numFmtId="4" fontId="36" fillId="38" borderId="10" xfId="0" applyNumberFormat="1" applyFont="1" applyFill="1" applyBorder="1" applyAlignment="1">
      <alignment horizontal="center" vertical="center" wrapText="1"/>
    </xf>
    <xf numFmtId="4" fontId="20" fillId="38"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61" fillId="0" borderId="0" xfId="42" applyFont="1" applyAlignment="1">
      <alignment horizontal="left"/>
    </xf>
    <xf numFmtId="0" fontId="46" fillId="0" borderId="25" xfId="42" applyFont="1" applyBorder="1" applyAlignment="1">
      <alignment horizontal="right"/>
    </xf>
    <xf numFmtId="0" fontId="21" fillId="37" borderId="0" xfId="0" applyFont="1" applyFill="1" applyAlignment="1">
      <alignment vertical="center" wrapText="1"/>
    </xf>
    <xf numFmtId="9" fontId="21" fillId="37" borderId="0" xfId="0" applyNumberFormat="1" applyFont="1" applyFill="1" applyAlignment="1">
      <alignment vertical="center" wrapText="1"/>
    </xf>
    <xf numFmtId="9" fontId="21" fillId="37" borderId="34" xfId="0" applyNumberFormat="1" applyFont="1" applyFill="1" applyBorder="1" applyAlignment="1">
      <alignment horizontal="left" vertical="center" wrapText="1"/>
    </xf>
    <xf numFmtId="9" fontId="21" fillId="37" borderId="0" xfId="0" applyNumberFormat="1" applyFont="1" applyFill="1" applyBorder="1" applyAlignment="1">
      <alignment horizontal="left" vertical="center" wrapText="1"/>
    </xf>
    <xf numFmtId="9" fontId="21" fillId="37" borderId="0" xfId="0" applyNumberFormat="1" applyFont="1" applyFill="1" applyAlignment="1">
      <alignment horizontal="right" vertical="center" wrapText="1"/>
    </xf>
    <xf numFmtId="0" fontId="21" fillId="37" borderId="0" xfId="0" applyFont="1" applyFill="1" applyAlignment="1">
      <alignment horizontal="right" vertical="center" wrapText="1"/>
    </xf>
    <xf numFmtId="0" fontId="20" fillId="34" borderId="32" xfId="0" applyFont="1" applyFill="1" applyBorder="1" applyAlignment="1">
      <alignment vertical="center" wrapText="1"/>
    </xf>
    <xf numFmtId="0" fontId="20" fillId="34" borderId="33" xfId="0" applyFont="1" applyFill="1" applyBorder="1" applyAlignment="1">
      <alignment vertical="center" wrapText="1"/>
    </xf>
    <xf numFmtId="0" fontId="21" fillId="37" borderId="34" xfId="0" applyFont="1" applyFill="1" applyBorder="1" applyAlignment="1">
      <alignment vertical="center" wrapText="1"/>
    </xf>
    <xf numFmtId="0" fontId="73" fillId="50" borderId="17" xfId="0" applyFont="1" applyFill="1" applyBorder="1" applyAlignment="1">
      <alignment horizontal="center" vertical="center" wrapText="1"/>
    </xf>
    <xf numFmtId="0" fontId="73" fillId="50" borderId="22" xfId="0" applyFont="1" applyFill="1" applyBorder="1" applyAlignment="1">
      <alignment horizontal="center" vertical="center" wrapText="1"/>
    </xf>
    <xf numFmtId="0" fontId="50" fillId="50" borderId="18" xfId="0" applyFont="1" applyFill="1" applyBorder="1" applyAlignment="1">
      <alignment horizontal="center" vertical="center" wrapText="1"/>
    </xf>
    <xf numFmtId="0" fontId="50" fillId="50" borderId="19" xfId="0" applyFont="1" applyFill="1" applyBorder="1" applyAlignment="1">
      <alignment horizontal="center" vertical="center" wrapText="1"/>
    </xf>
    <xf numFmtId="0" fontId="50" fillId="50" borderId="20" xfId="0" applyFont="1" applyFill="1" applyBorder="1" applyAlignment="1">
      <alignment horizontal="center" vertical="center" wrapText="1"/>
    </xf>
    <xf numFmtId="0" fontId="50" fillId="50" borderId="17" xfId="0" applyFont="1" applyFill="1" applyBorder="1" applyAlignment="1">
      <alignment horizontal="center" vertical="center" wrapText="1"/>
    </xf>
    <xf numFmtId="0" fontId="50" fillId="50" borderId="22" xfId="0" applyFont="1" applyFill="1" applyBorder="1" applyAlignment="1">
      <alignment horizontal="center" vertical="center" wrapText="1"/>
    </xf>
    <xf numFmtId="0" fontId="50" fillId="50" borderId="21" xfId="0" applyFont="1" applyFill="1" applyBorder="1" applyAlignment="1">
      <alignment horizontal="center" vertical="center" wrapText="1"/>
    </xf>
    <xf numFmtId="0" fontId="21" fillId="0" borderId="0" xfId="0" applyFont="1" applyBorder="1" applyAlignment="1">
      <alignment horizontal="left" vertical="top" wrapText="1"/>
    </xf>
  </cellXfs>
  <cellStyles count="68">
    <cellStyle name="20% - ส่วนที่ถูกเน้น1" xfId="19" builtinId="30" customBuiltin="1"/>
    <cellStyle name="20% - ส่วนที่ถูกเน้น2" xfId="23" builtinId="34" customBuiltin="1"/>
    <cellStyle name="20% - ส่วนที่ถูกเน้น3" xfId="27" builtinId="38" customBuiltin="1"/>
    <cellStyle name="20% - ส่วนที่ถูกเน้น4" xfId="31" builtinId="42" customBuiltin="1"/>
    <cellStyle name="20% - ส่วนที่ถูกเน้น5" xfId="35" builtinId="46" customBuiltin="1"/>
    <cellStyle name="20% - ส่วนที่ถูกเน้น6" xfId="39" builtinId="50" customBuiltin="1"/>
    <cellStyle name="40% - ส่วนที่ถูกเน้น1" xfId="20" builtinId="31" customBuiltin="1"/>
    <cellStyle name="40% - ส่วนที่ถูกเน้น2" xfId="24" builtinId="35" customBuiltin="1"/>
    <cellStyle name="40% - ส่วนที่ถูกเน้น3" xfId="28" builtinId="39" customBuiltin="1"/>
    <cellStyle name="40% - ส่วนที่ถูกเน้น4" xfId="32" builtinId="43" customBuiltin="1"/>
    <cellStyle name="40% - ส่วนที่ถูกเน้น5" xfId="36" builtinId="47" customBuiltin="1"/>
    <cellStyle name="40% - ส่วนที่ถูกเน้น6" xfId="40" builtinId="51" customBuiltin="1"/>
    <cellStyle name="60% - ส่วนที่ถูกเน้น1" xfId="21" builtinId="32" customBuiltin="1"/>
    <cellStyle name="60% - ส่วนที่ถูกเน้น2" xfId="25" builtinId="36" customBuiltin="1"/>
    <cellStyle name="60% - ส่วนที่ถูกเน้น3" xfId="29" builtinId="40" customBuiltin="1"/>
    <cellStyle name="60% - ส่วนที่ถูกเน้น4" xfId="33" builtinId="44" customBuiltin="1"/>
    <cellStyle name="60% - ส่วนที่ถูกเน้น5" xfId="37" builtinId="48" customBuiltin="1"/>
    <cellStyle name="60% - ส่วนที่ถูกเน้น6" xfId="41" builtinId="52" customBuiltin="1"/>
    <cellStyle name="Comma 2" xfId="44" xr:uid="{00000000-0005-0000-0000-000012000000}"/>
    <cellStyle name="Hyperlink" xfId="51" builtinId="8"/>
    <cellStyle name="Normal 2" xfId="43" xr:uid="{00000000-0005-0000-0000-000014000000}"/>
    <cellStyle name="Normal 3_สรุปคำขอตั้งงบลงทุน (ค่าครุภัณฑ์) เรียงลำดับ" xfId="58" xr:uid="{00000000-0005-0000-0000-000015000000}"/>
    <cellStyle name="การคำนวณ" xfId="11" builtinId="22" customBuiltin="1"/>
    <cellStyle name="ข้อความเตือน" xfId="14" builtinId="11" customBuiltin="1"/>
    <cellStyle name="ข้อความอธิบาย" xfId="16" builtinId="53" customBuiltin="1"/>
    <cellStyle name="เครื่องหมายจุลภาค 10" xfId="61" xr:uid="{00000000-0005-0000-0000-00001A000000}"/>
    <cellStyle name="เครื่องหมายจุลภาค 11" xfId="62" xr:uid="{00000000-0005-0000-0000-00001B000000}"/>
    <cellStyle name="เครื่องหมายจุลภาค 12" xfId="63" xr:uid="{00000000-0005-0000-0000-00001C000000}"/>
    <cellStyle name="เครื่องหมายจุลภาค 13" xfId="65" xr:uid="{00000000-0005-0000-0000-00001D000000}"/>
    <cellStyle name="เครื่องหมายจุลภาค 14" xfId="66" xr:uid="{00000000-0005-0000-0000-00001E000000}"/>
    <cellStyle name="เครื่องหมายจุลภาค 2" xfId="54" xr:uid="{00000000-0005-0000-0000-00001F000000}"/>
    <cellStyle name="เครื่องหมายจุลภาค 3" xfId="46" xr:uid="{00000000-0005-0000-0000-000020000000}"/>
    <cellStyle name="เครื่องหมายจุลภาค 4" xfId="47" xr:uid="{00000000-0005-0000-0000-000021000000}"/>
    <cellStyle name="เครื่องหมายจุลภาค 5" xfId="48" xr:uid="{00000000-0005-0000-0000-000022000000}"/>
    <cellStyle name="เครื่องหมายจุลภาค 6" xfId="49" xr:uid="{00000000-0005-0000-0000-000023000000}"/>
    <cellStyle name="เครื่องหมายจุลภาค 7" xfId="50" xr:uid="{00000000-0005-0000-0000-000024000000}"/>
    <cellStyle name="เครื่องหมายจุลภาค 8" xfId="56" xr:uid="{00000000-0005-0000-0000-000025000000}"/>
    <cellStyle name="เครื่องหมายจุลภาค 9" xfId="60" xr:uid="{00000000-0005-0000-0000-000026000000}"/>
    <cellStyle name="จุลภาค" xfId="52" builtinId="3"/>
    <cellStyle name="จุลภาค 2" xfId="67" xr:uid="{222C45CE-434D-4047-8A2F-CEF4DC412411}"/>
    <cellStyle name="ชื่อเรื่อง" xfId="1" builtinId="15" customBuiltin="1"/>
    <cellStyle name="เซลล์ตรวจสอบ" xfId="13" builtinId="23" customBuiltin="1"/>
    <cellStyle name="เซลล์ที่มีลิงก์" xfId="12" builtinId="24" customBuiltin="1"/>
    <cellStyle name="ดี" xfId="6" builtinId="26" customBuiltin="1"/>
    <cellStyle name="ปกติ" xfId="0" builtinId="0"/>
    <cellStyle name="ปกติ 2" xfId="53" xr:uid="{00000000-0005-0000-0000-00002C000000}"/>
    <cellStyle name="ปกติ 3" xfId="45" xr:uid="{00000000-0005-0000-0000-00002D000000}"/>
    <cellStyle name="ปกติ 4" xfId="55" xr:uid="{00000000-0005-0000-0000-00002E000000}"/>
    <cellStyle name="ปกติ 5" xfId="64" xr:uid="{00000000-0005-0000-0000-00002F000000}"/>
    <cellStyle name="ปกติ_ไตรมาส  4.55 (ณ 5 ก.ย. 55) ปรับแนวตั้ง " xfId="42" xr:uid="{00000000-0005-0000-0000-000030000000}"/>
    <cellStyle name="ปกติ_แบบฟอร์มเปล่าครุภัณฑ์" xfId="57" xr:uid="{00000000-0005-0000-0000-000031000000}"/>
    <cellStyle name="ปกติ_แบบฟอร์มเปล่าครุภัณฑ์ 2" xfId="59" xr:uid="{00000000-0005-0000-0000-000032000000}"/>
    <cellStyle name="ป้อนค่า" xfId="9" builtinId="20" customBuiltin="1"/>
    <cellStyle name="ปานกลาง" xfId="8" builtinId="28" customBuiltin="1"/>
    <cellStyle name="ผลรวม" xfId="17" builtinId="25" customBuiltin="1"/>
    <cellStyle name="แย่" xfId="7" builtinId="27" customBuiltin="1"/>
    <cellStyle name="ส่วนที่ถูกเน้น1" xfId="18" builtinId="29" customBuiltin="1"/>
    <cellStyle name="ส่วนที่ถูกเน้น2" xfId="22" builtinId="33" customBuiltin="1"/>
    <cellStyle name="ส่วนที่ถูกเน้น3" xfId="26" builtinId="37" customBuiltin="1"/>
    <cellStyle name="ส่วนที่ถูกเน้น4" xfId="30" builtinId="41" customBuiltin="1"/>
    <cellStyle name="ส่วนที่ถูกเน้น5" xfId="34" builtinId="45" customBuiltin="1"/>
    <cellStyle name="ส่วนที่ถูกเน้น6" xfId="38" builtinId="49" customBuiltin="1"/>
    <cellStyle name="แสดงผล" xfId="10" builtinId="21" customBuiltin="1"/>
    <cellStyle name="หมายเหตุ" xfId="15" builtinId="10" customBuiltin="1"/>
    <cellStyle name="หัวเรื่อง 1" xfId="2" builtinId="16" customBuiltin="1"/>
    <cellStyle name="หัวเรื่อง 2" xfId="3" builtinId="17" customBuiltin="1"/>
    <cellStyle name="หัวเรื่อง 3" xfId="4" builtinId="18" customBuiltin="1"/>
    <cellStyle name="หัวเรื่อง 4" xfId="5" builtinId="19" customBuiltin="1"/>
  </cellStyles>
  <dxfs count="0"/>
  <tableStyles count="0" defaultTableStyle="TableStyleMedium9" defaultPivotStyle="PivotStyleLight16"/>
  <colors>
    <mruColors>
      <color rgb="FFFFFFCC"/>
      <color rgb="FFFFCCFF"/>
      <color rgb="FF66FFCC"/>
      <color rgb="FF33CCFF"/>
      <color rgb="FF00FFCC"/>
      <color rgb="FF009999"/>
      <color rgb="FFCCFFFF"/>
      <color rgb="FFCCFFCC"/>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TH SarabunPSK" pitchFamily="34" charset="-34"/>
                <a:cs typeface="TH SarabunPSK" pitchFamily="34" charset="-34"/>
              </a:defRPr>
            </a:pPr>
            <a:r>
              <a:rPr lang="th-TH" sz="1600">
                <a:latin typeface="TH SarabunPSK" pitchFamily="34" charset="-34"/>
                <a:cs typeface="TH SarabunPSK" pitchFamily="34" charset="-34"/>
              </a:rPr>
              <a:t>กราฟสารสนเทศ</a:t>
            </a:r>
            <a:r>
              <a:rPr lang="th-TH" sz="1600" baseline="0">
                <a:latin typeface="TH SarabunPSK" pitchFamily="34" charset="-34"/>
                <a:cs typeface="TH SarabunPSK" pitchFamily="34" charset="-34"/>
              </a:rPr>
              <a:t> รายงานผลการเบิกจ่าย ประจำปีงบประมาณ</a:t>
            </a:r>
            <a:endParaRPr lang="th-TH" sz="1600">
              <a:latin typeface="TH SarabunPSK" pitchFamily="34" charset="-34"/>
              <a:cs typeface="TH SarabunPSK" pitchFamily="34" charset="-34"/>
            </a:endParaRPr>
          </a:p>
        </c:rich>
      </c:tx>
      <c:layout>
        <c:manualLayout>
          <c:xMode val="edge"/>
          <c:yMode val="edge"/>
          <c:x val="0.3240977474614673"/>
          <c:y val="2.5460044956469152E-2"/>
        </c:manualLayout>
      </c:layout>
      <c:overlay val="0"/>
    </c:title>
    <c:autoTitleDeleted val="0"/>
    <c:plotArea>
      <c:layout/>
      <c:lineChart>
        <c:grouping val="standard"/>
        <c:varyColors val="0"/>
        <c:ser>
          <c:idx val="0"/>
          <c:order val="0"/>
          <c:tx>
            <c:strRef>
              <c:f>'S2'!$C$34</c:f>
              <c:strCache>
                <c:ptCount val="1"/>
                <c:pt idx="0">
                  <c:v>เป้าหมาย</c:v>
                </c:pt>
              </c:strCache>
            </c:strRef>
          </c:tx>
          <c:dLbls>
            <c:dLbl>
              <c:idx val="2"/>
              <c:layout>
                <c:manualLayout>
                  <c:x val="0"/>
                  <c:y val="-4.3557143886051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4B-4160-80B3-B3EA6FEEB6C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'S2'!$D$33:$G$33</c:f>
              <c:strCache>
                <c:ptCount val="4"/>
                <c:pt idx="0">
                  <c:v>ไตรมาส 1</c:v>
                </c:pt>
                <c:pt idx="1">
                  <c:v>ไตรมาส 2</c:v>
                </c:pt>
                <c:pt idx="2">
                  <c:v>ไตรมาส 3</c:v>
                </c:pt>
                <c:pt idx="3">
                  <c:v>ไตรมาส 4</c:v>
                </c:pt>
              </c:strCache>
            </c:strRef>
          </c:cat>
          <c:val>
            <c:numRef>
              <c:f>'S2'!$D$34:$G$34</c:f>
              <c:numCache>
                <c:formatCode>0.00</c:formatCode>
                <c:ptCount val="4"/>
                <c:pt idx="0">
                  <c:v>32</c:v>
                </c:pt>
                <c:pt idx="1">
                  <c:v>54</c:v>
                </c:pt>
                <c:pt idx="2">
                  <c:v>77</c:v>
                </c:pt>
                <c:pt idx="3">
                  <c:v>100</c:v>
                </c:pt>
              </c:numCache>
            </c:numRef>
          </c:val>
          <c:smooth val="0"/>
          <c:extLst>
            <c:ext xmlns:c16="http://schemas.microsoft.com/office/drawing/2014/chart" uri="{C3380CC4-5D6E-409C-BE32-E72D297353CC}">
              <c16:uniqueId val="{00000000-F18E-4BB3-8EC5-6BCA67FCC08C}"/>
            </c:ext>
          </c:extLst>
        </c:ser>
        <c:ser>
          <c:idx val="1"/>
          <c:order val="1"/>
          <c:tx>
            <c:strRef>
              <c:f>'S2'!$C$35</c:f>
              <c:strCache>
                <c:ptCount val="1"/>
                <c:pt idx="0">
                  <c:v>แผ่นดิน</c:v>
                </c:pt>
              </c:strCache>
            </c:strRef>
          </c:tx>
          <c:dLbls>
            <c:dLbl>
              <c:idx val="0"/>
              <c:layout>
                <c:manualLayout>
                  <c:x val="0"/>
                  <c:y val="-1.30671431658155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E-4BB3-8EC5-6BCA67FCC08C}"/>
                </c:ext>
              </c:extLst>
            </c:dLbl>
            <c:dLbl>
              <c:idx val="2"/>
              <c:layout>
                <c:manualLayout>
                  <c:x val="0"/>
                  <c:y val="-1.5245000360118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4B-4160-80B3-B3EA6FEEB6C3}"/>
                </c:ext>
              </c:extLst>
            </c:dLbl>
            <c:dLbl>
              <c:idx val="3"/>
              <c:layout>
                <c:manualLayout>
                  <c:x val="3.9911310991237884E-3"/>
                  <c:y val="-2.8312143525933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E1-4642-AD1F-2C58AFF3F5D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'S2'!$D$33:$G$33</c:f>
              <c:strCache>
                <c:ptCount val="4"/>
                <c:pt idx="0">
                  <c:v>ไตรมาส 1</c:v>
                </c:pt>
                <c:pt idx="1">
                  <c:v>ไตรมาส 2</c:v>
                </c:pt>
                <c:pt idx="2">
                  <c:v>ไตรมาส 3</c:v>
                </c:pt>
                <c:pt idx="3">
                  <c:v>ไตรมาส 4</c:v>
                </c:pt>
              </c:strCache>
            </c:strRef>
          </c:cat>
          <c:val>
            <c:numRef>
              <c:f>'S2'!$D$35:$G$35</c:f>
              <c:numCache>
                <c:formatCode>#,##0.00</c:formatCode>
                <c:ptCount val="4"/>
                <c:pt idx="0">
                  <c:v>19.265043503637681</c:v>
                </c:pt>
                <c:pt idx="1">
                  <c:v>41.527957456457791</c:v>
                </c:pt>
                <c:pt idx="2">
                  <c:v>76.099999999999994</c:v>
                </c:pt>
                <c:pt idx="3">
                  <c:v>92.78517364770255</c:v>
                </c:pt>
              </c:numCache>
            </c:numRef>
          </c:val>
          <c:smooth val="0"/>
          <c:extLst>
            <c:ext xmlns:c16="http://schemas.microsoft.com/office/drawing/2014/chart" uri="{C3380CC4-5D6E-409C-BE32-E72D297353CC}">
              <c16:uniqueId val="{00000002-F18E-4BB3-8EC5-6BCA67FCC08C}"/>
            </c:ext>
          </c:extLst>
        </c:ser>
        <c:ser>
          <c:idx val="2"/>
          <c:order val="2"/>
          <c:tx>
            <c:strRef>
              <c:f>'S2'!$C$36</c:f>
              <c:strCache>
                <c:ptCount val="1"/>
                <c:pt idx="0">
                  <c:v>รายได้</c:v>
                </c:pt>
              </c:strCache>
            </c:strRef>
          </c:tx>
          <c:dLbls>
            <c:dLbl>
              <c:idx val="0"/>
              <c:layout>
                <c:manualLayout>
                  <c:x val="-1.3683010753661377E-3"/>
                  <c:y val="2.8312143525933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8E-4BB3-8EC5-6BCA67FCC08C}"/>
                </c:ext>
              </c:extLst>
            </c:dLbl>
            <c:dLbl>
              <c:idx val="3"/>
              <c:layout>
                <c:manualLayout>
                  <c:x val="0"/>
                  <c:y val="3.0409345523104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8E-4BB3-8EC5-6BCA67FCC08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'S2'!$D$33:$G$33</c:f>
              <c:strCache>
                <c:ptCount val="4"/>
                <c:pt idx="0">
                  <c:v>ไตรมาส 1</c:v>
                </c:pt>
                <c:pt idx="1">
                  <c:v>ไตรมาส 2</c:v>
                </c:pt>
                <c:pt idx="2">
                  <c:v>ไตรมาส 3</c:v>
                </c:pt>
                <c:pt idx="3">
                  <c:v>ไตรมาส 4</c:v>
                </c:pt>
              </c:strCache>
            </c:strRef>
          </c:cat>
          <c:val>
            <c:numRef>
              <c:f>'S2'!$D$36:$G$36</c:f>
              <c:numCache>
                <c:formatCode>#,##0.00</c:formatCode>
                <c:ptCount val="4"/>
                <c:pt idx="0">
                  <c:v>14.975682824956484</c:v>
                </c:pt>
                <c:pt idx="1">
                  <c:v>32.696729573074165</c:v>
                </c:pt>
                <c:pt idx="2" formatCode="General">
                  <c:v>50.66</c:v>
                </c:pt>
                <c:pt idx="3">
                  <c:v>78.038103519236117</c:v>
                </c:pt>
              </c:numCache>
            </c:numRef>
          </c:val>
          <c:smooth val="0"/>
          <c:extLst>
            <c:ext xmlns:c16="http://schemas.microsoft.com/office/drawing/2014/chart" uri="{C3380CC4-5D6E-409C-BE32-E72D297353CC}">
              <c16:uniqueId val="{00000005-F18E-4BB3-8EC5-6BCA67FCC08C}"/>
            </c:ext>
          </c:extLst>
        </c:ser>
        <c:ser>
          <c:idx val="3"/>
          <c:order val="3"/>
          <c:tx>
            <c:strRef>
              <c:f>'S2'!$C$37</c:f>
              <c:strCache>
                <c:ptCount val="1"/>
                <c:pt idx="0">
                  <c:v>รวม</c:v>
                </c:pt>
              </c:strCache>
            </c:strRef>
          </c:tx>
          <c:dLbls>
            <c:dLbl>
              <c:idx val="0"/>
              <c:layout>
                <c:manualLayout>
                  <c:x val="0"/>
                  <c:y val="2.4198394216160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8E-4BB3-8EC5-6BCA67FCC08C}"/>
                </c:ext>
              </c:extLst>
            </c:dLbl>
            <c:dLbl>
              <c:idx val="1"/>
              <c:layout>
                <c:manualLayout>
                  <c:x val="0"/>
                  <c:y val="3.2748525947957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8E-4BB3-8EC5-6BCA67FCC08C}"/>
                </c:ext>
              </c:extLst>
            </c:dLbl>
            <c:dLbl>
              <c:idx val="2"/>
              <c:layout>
                <c:manualLayout>
                  <c:x val="0"/>
                  <c:y val="-2.3391804248541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8E-4BB3-8EC5-6BCA67FCC08C}"/>
                </c:ext>
              </c:extLst>
            </c:dLbl>
            <c:dLbl>
              <c:idx val="3"/>
              <c:layout>
                <c:manualLayout>
                  <c:x val="5.3215081321652136E-3"/>
                  <c:y val="-8.46946369837878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8E-4BB3-8EC5-6BCA67FCC08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'S2'!$D$33:$G$33</c:f>
              <c:strCache>
                <c:ptCount val="4"/>
                <c:pt idx="0">
                  <c:v>ไตรมาส 1</c:v>
                </c:pt>
                <c:pt idx="1">
                  <c:v>ไตรมาส 2</c:v>
                </c:pt>
                <c:pt idx="2">
                  <c:v>ไตรมาส 3</c:v>
                </c:pt>
                <c:pt idx="3">
                  <c:v>ไตรมาส 4</c:v>
                </c:pt>
              </c:strCache>
            </c:strRef>
          </c:cat>
          <c:val>
            <c:numRef>
              <c:f>'S2'!$D$37:$G$37</c:f>
              <c:numCache>
                <c:formatCode>#,##0.00</c:formatCode>
                <c:ptCount val="4"/>
                <c:pt idx="0">
                  <c:v>18.468458945157305</c:v>
                </c:pt>
                <c:pt idx="1">
                  <c:v>39.88789491770023</c:v>
                </c:pt>
                <c:pt idx="2" formatCode="General">
                  <c:v>71.05</c:v>
                </c:pt>
                <c:pt idx="3">
                  <c:v>90.04646985775328</c:v>
                </c:pt>
              </c:numCache>
            </c:numRef>
          </c:val>
          <c:smooth val="0"/>
          <c:extLst>
            <c:ext xmlns:c16="http://schemas.microsoft.com/office/drawing/2014/chart" uri="{C3380CC4-5D6E-409C-BE32-E72D297353CC}">
              <c16:uniqueId val="{0000000A-F18E-4BB3-8EC5-6BCA67FCC08C}"/>
            </c:ext>
          </c:extLst>
        </c:ser>
        <c:dLbls>
          <c:showLegendKey val="0"/>
          <c:showVal val="1"/>
          <c:showCatName val="0"/>
          <c:showSerName val="0"/>
          <c:showPercent val="0"/>
          <c:showBubbleSize val="0"/>
        </c:dLbls>
        <c:marker val="1"/>
        <c:smooth val="0"/>
        <c:axId val="137638656"/>
        <c:axId val="137640192"/>
      </c:lineChart>
      <c:catAx>
        <c:axId val="137638656"/>
        <c:scaling>
          <c:orientation val="minMax"/>
        </c:scaling>
        <c:delete val="0"/>
        <c:axPos val="b"/>
        <c:numFmt formatCode="General" sourceLinked="0"/>
        <c:majorTickMark val="none"/>
        <c:minorTickMark val="none"/>
        <c:tickLblPos val="nextTo"/>
        <c:crossAx val="137640192"/>
        <c:crosses val="autoZero"/>
        <c:auto val="1"/>
        <c:lblAlgn val="ctr"/>
        <c:lblOffset val="100"/>
        <c:noMultiLvlLbl val="0"/>
      </c:catAx>
      <c:valAx>
        <c:axId val="137640192"/>
        <c:scaling>
          <c:orientation val="minMax"/>
        </c:scaling>
        <c:delete val="0"/>
        <c:axPos val="l"/>
        <c:majorGridlines/>
        <c:numFmt formatCode="0.00" sourceLinked="1"/>
        <c:majorTickMark val="none"/>
        <c:minorTickMark val="none"/>
        <c:tickLblPos val="nextTo"/>
        <c:crossAx val="137638656"/>
        <c:crosses val="autoZero"/>
        <c:crossBetween val="between"/>
      </c:valAx>
    </c:plotArea>
    <c:legend>
      <c:legendPos val="r"/>
      <c:overlay val="0"/>
    </c:legend>
    <c:plotVisOnly val="1"/>
    <c:dispBlanksAs val="gap"/>
    <c:showDLblsOverMax val="0"/>
  </c:chart>
  <c:printSettings>
    <c:headerFooter/>
    <c:pageMargins b="0.75000000000000533" l="0.70000000000000062" r="0.70000000000000062" t="0.75000000000000533"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th-TH" sz="1100"/>
              <a:t>กราฟสารสนเทศผลการเบิกจ่ายงบประมาณ</a:t>
            </a:r>
            <a:r>
              <a:rPr lang="th-TH" sz="1100" baseline="0"/>
              <a:t> จำแนกตามหมวดรายจ่าย แหล่งงบประมาณ</a:t>
            </a:r>
            <a:endParaRPr lang="th-TH" sz="11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Sheet1!$B$1</c:f>
              <c:strCache>
                <c:ptCount val="1"/>
                <c:pt idx="0">
                  <c:v>แผนดิน</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Sheet1!$A$2:$A$7</c:f>
              <c:strCache>
                <c:ptCount val="6"/>
                <c:pt idx="0">
                  <c:v>งบบุคลากร</c:v>
                </c:pt>
                <c:pt idx="1">
                  <c:v>งบดำเนินเงิน</c:v>
                </c:pt>
                <c:pt idx="2">
                  <c:v>งบลงทุน</c:v>
                </c:pt>
                <c:pt idx="3">
                  <c:v>งบอุดหนุน</c:v>
                </c:pt>
                <c:pt idx="4">
                  <c:v>งบรายจ่ายอื่น</c:v>
                </c:pt>
                <c:pt idx="5">
                  <c:v>รวม</c:v>
                </c:pt>
              </c:strCache>
            </c:strRef>
          </c:cat>
          <c:val>
            <c:numRef>
              <c:f>Sheet1!$B$2:$B$7</c:f>
              <c:numCache>
                <c:formatCode>#,##0.00</c:formatCode>
                <c:ptCount val="6"/>
                <c:pt idx="0">
                  <c:v>100</c:v>
                </c:pt>
                <c:pt idx="1">
                  <c:v>97.046747901294367</c:v>
                </c:pt>
                <c:pt idx="2">
                  <c:v>75.141458182614315</c:v>
                </c:pt>
                <c:pt idx="3">
                  <c:v>99.77878955353394</c:v>
                </c:pt>
                <c:pt idx="4">
                  <c:v>100</c:v>
                </c:pt>
                <c:pt idx="5">
                  <c:v>92.78517364770255</c:v>
                </c:pt>
              </c:numCache>
            </c:numRef>
          </c:val>
          <c:extLst>
            <c:ext xmlns:c16="http://schemas.microsoft.com/office/drawing/2014/chart" uri="{C3380CC4-5D6E-409C-BE32-E72D297353CC}">
              <c16:uniqueId val="{00000000-7C05-49B2-9A2C-968B3AC65531}"/>
            </c:ext>
          </c:extLst>
        </c:ser>
        <c:ser>
          <c:idx val="1"/>
          <c:order val="1"/>
          <c:tx>
            <c:strRef>
              <c:f>Sheet1!$C$1</c:f>
              <c:strCache>
                <c:ptCount val="1"/>
                <c:pt idx="0">
                  <c:v>รายได้</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Sheet1!$A$2:$A$7</c:f>
              <c:strCache>
                <c:ptCount val="6"/>
                <c:pt idx="0">
                  <c:v>งบบุคลากร</c:v>
                </c:pt>
                <c:pt idx="1">
                  <c:v>งบดำเนินเงิน</c:v>
                </c:pt>
                <c:pt idx="2">
                  <c:v>งบลงทุน</c:v>
                </c:pt>
                <c:pt idx="3">
                  <c:v>งบอุดหนุน</c:v>
                </c:pt>
                <c:pt idx="4">
                  <c:v>งบรายจ่ายอื่น</c:v>
                </c:pt>
                <c:pt idx="5">
                  <c:v>รวม</c:v>
                </c:pt>
              </c:strCache>
            </c:strRef>
          </c:cat>
          <c:val>
            <c:numRef>
              <c:f>Sheet1!$C$2:$C$7</c:f>
              <c:numCache>
                <c:formatCode>#,##0.00</c:formatCode>
                <c:ptCount val="6"/>
                <c:pt idx="0">
                  <c:v>0</c:v>
                </c:pt>
                <c:pt idx="1">
                  <c:v>82.608044072771776</c:v>
                </c:pt>
                <c:pt idx="2">
                  <c:v>86.235045058094585</c:v>
                </c:pt>
                <c:pt idx="3">
                  <c:v>69.828387023846659</c:v>
                </c:pt>
                <c:pt idx="4">
                  <c:v>72.255272012035377</c:v>
                </c:pt>
                <c:pt idx="5">
                  <c:v>78.038103519236117</c:v>
                </c:pt>
              </c:numCache>
            </c:numRef>
          </c:val>
          <c:extLst>
            <c:ext xmlns:c16="http://schemas.microsoft.com/office/drawing/2014/chart" uri="{C3380CC4-5D6E-409C-BE32-E72D297353CC}">
              <c16:uniqueId val="{00000001-7C05-49B2-9A2C-968B3AC65531}"/>
            </c:ext>
          </c:extLst>
        </c:ser>
        <c:ser>
          <c:idx val="2"/>
          <c:order val="2"/>
          <c:tx>
            <c:strRef>
              <c:f>Sheet1!$D$1</c:f>
              <c:strCache>
                <c:ptCount val="1"/>
                <c:pt idx="0">
                  <c:v>รวม</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Sheet1!$A$2:$A$7</c:f>
              <c:strCache>
                <c:ptCount val="6"/>
                <c:pt idx="0">
                  <c:v>งบบุคลากร</c:v>
                </c:pt>
                <c:pt idx="1">
                  <c:v>งบดำเนินเงิน</c:v>
                </c:pt>
                <c:pt idx="2">
                  <c:v>งบลงทุน</c:v>
                </c:pt>
                <c:pt idx="3">
                  <c:v>งบอุดหนุน</c:v>
                </c:pt>
                <c:pt idx="4">
                  <c:v>งบรายจ่ายอื่น</c:v>
                </c:pt>
                <c:pt idx="5">
                  <c:v>รวม</c:v>
                </c:pt>
              </c:strCache>
            </c:strRef>
          </c:cat>
          <c:val>
            <c:numRef>
              <c:f>Sheet1!$D$2:$D$7</c:f>
              <c:numCache>
                <c:formatCode>#,##0.00</c:formatCode>
                <c:ptCount val="6"/>
                <c:pt idx="0">
                  <c:v>100</c:v>
                </c:pt>
                <c:pt idx="1">
                  <c:v>88.347933139017528</c:v>
                </c:pt>
                <c:pt idx="2">
                  <c:v>75.531851149597543</c:v>
                </c:pt>
                <c:pt idx="3">
                  <c:v>95.186335717081533</c:v>
                </c:pt>
                <c:pt idx="4">
                  <c:v>96.028636752836832</c:v>
                </c:pt>
                <c:pt idx="5">
                  <c:v>90.046469857753294</c:v>
                </c:pt>
              </c:numCache>
            </c:numRef>
          </c:val>
          <c:extLst>
            <c:ext xmlns:c16="http://schemas.microsoft.com/office/drawing/2014/chart" uri="{C3380CC4-5D6E-409C-BE32-E72D297353CC}">
              <c16:uniqueId val="{00000002-7C05-49B2-9A2C-968B3AC65531}"/>
            </c:ext>
          </c:extLst>
        </c:ser>
        <c:dLbls>
          <c:showLegendKey val="0"/>
          <c:showVal val="1"/>
          <c:showCatName val="0"/>
          <c:showSerName val="0"/>
          <c:showPercent val="0"/>
          <c:showBubbleSize val="0"/>
        </c:dLbls>
        <c:gapWidth val="150"/>
        <c:shape val="box"/>
        <c:axId val="138577792"/>
        <c:axId val="138579328"/>
        <c:axId val="0"/>
      </c:bar3DChart>
      <c:catAx>
        <c:axId val="138577792"/>
        <c:scaling>
          <c:orientation val="minMax"/>
        </c:scaling>
        <c:delete val="0"/>
        <c:axPos val="b"/>
        <c:numFmt formatCode="General" sourceLinked="0"/>
        <c:majorTickMark val="none"/>
        <c:minorTickMark val="none"/>
        <c:tickLblPos val="nextTo"/>
        <c:crossAx val="138579328"/>
        <c:crosses val="autoZero"/>
        <c:auto val="1"/>
        <c:lblAlgn val="ctr"/>
        <c:lblOffset val="100"/>
        <c:noMultiLvlLbl val="0"/>
      </c:catAx>
      <c:valAx>
        <c:axId val="138579328"/>
        <c:scaling>
          <c:orientation val="minMax"/>
        </c:scaling>
        <c:delete val="1"/>
        <c:axPos val="l"/>
        <c:numFmt formatCode="#,##0.00" sourceLinked="1"/>
        <c:majorTickMark val="out"/>
        <c:minorTickMark val="none"/>
        <c:tickLblPos val="none"/>
        <c:crossAx val="138577792"/>
        <c:crosses val="autoZero"/>
        <c:crossBetween val="between"/>
      </c:valAx>
    </c:plotArea>
    <c:legend>
      <c:legendPos val="t"/>
      <c:overlay val="0"/>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'S5'!$A$4:$A$23</c:f>
              <c:strCache>
                <c:ptCount val="20"/>
                <c:pt idx="0">
                  <c:v>1.คณะครุศาสตร์</c:v>
                </c:pt>
                <c:pt idx="1">
                  <c:v>2.คณะวิทยาศาสตร์</c:v>
                </c:pt>
                <c:pt idx="2">
                  <c:v>3.คณะมนุษยศาสตร์และสังคมศาสตร์</c:v>
                </c:pt>
                <c:pt idx="3">
                  <c:v>4.คณะวิทยาการจัดการ</c:v>
                </c:pt>
                <c:pt idx="4">
                  <c:v>5.คณะเทคโนโลยีอุตสาหกรรม</c:v>
                </c:pt>
                <c:pt idx="5">
                  <c:v>6.คณะเทคโนโลยีการเกษตร</c:v>
                </c:pt>
                <c:pt idx="6">
                  <c:v>7.สำนักวิทยบริการและเทคโนโลยีสารสนเทศ</c:v>
                </c:pt>
                <c:pt idx="7">
                  <c:v>8.สถาบันวิจัยและพัฒนา</c:v>
                </c:pt>
                <c:pt idx="8">
                  <c:v>9.สำนักศิลปะและวัฒนธรรม</c:v>
                </c:pt>
                <c:pt idx="9">
                  <c:v>10.หน่วยตรวจสอบภายใน</c:v>
                </c:pt>
                <c:pt idx="10">
                  <c:v>11.สำนักสภาคณาจารย์และข้าราชการ</c:v>
                </c:pt>
                <c:pt idx="11">
                  <c:v>12.โครงการจัดตั้งสถาบันภาษา</c:v>
                </c:pt>
                <c:pt idx="12">
                  <c:v>13.กองกลาง</c:v>
                </c:pt>
                <c:pt idx="13">
                  <c:v>14.กองนโยบายและแผน</c:v>
                </c:pt>
                <c:pt idx="14">
                  <c:v>15.กองบริการการศึกษา</c:v>
                </c:pt>
                <c:pt idx="15">
                  <c:v>16.สำนักงานประสานงานบัณฑิตศึกษา</c:v>
                </c:pt>
                <c:pt idx="16">
                  <c:v>17.กองพัฒนานักศึกษา</c:v>
                </c:pt>
                <c:pt idx="17">
                  <c:v>18.งบกลางมหาวิทยาลัยราชภัฏลำปาง</c:v>
                </c:pt>
                <c:pt idx="18">
                  <c:v>19.ศูนย์อบรมและการศึกษาต่อเนื่อง</c:v>
                </c:pt>
                <c:pt idx="19">
                  <c:v>20.โรงเรียนสาธิตมหาวิทยาลัยราชภัฏลำปาง</c:v>
                </c:pt>
              </c:strCache>
            </c:strRef>
          </c:cat>
          <c:val>
            <c:numRef>
              <c:f>'S5'!$I$4:$I$23</c:f>
              <c:numCache>
                <c:formatCode>#,##0.00</c:formatCode>
                <c:ptCount val="20"/>
                <c:pt idx="0">
                  <c:v>99.174293111691327</c:v>
                </c:pt>
                <c:pt idx="1">
                  <c:v>92.961601035776226</c:v>
                </c:pt>
                <c:pt idx="2">
                  <c:v>95.525315487719936</c:v>
                </c:pt>
                <c:pt idx="3">
                  <c:v>99.637575075540084</c:v>
                </c:pt>
                <c:pt idx="4">
                  <c:v>98.819642082857598</c:v>
                </c:pt>
                <c:pt idx="5">
                  <c:v>84.906724559246399</c:v>
                </c:pt>
                <c:pt idx="6">
                  <c:v>98.565190081919127</c:v>
                </c:pt>
                <c:pt idx="7">
                  <c:v>91.984267772338484</c:v>
                </c:pt>
                <c:pt idx="8">
                  <c:v>98.795430852239377</c:v>
                </c:pt>
                <c:pt idx="9">
                  <c:v>65.687777777777782</c:v>
                </c:pt>
                <c:pt idx="10">
                  <c:v>71.675432006010524</c:v>
                </c:pt>
                <c:pt idx="11">
                  <c:v>77.450949009431014</c:v>
                </c:pt>
                <c:pt idx="12">
                  <c:v>83.750228987492036</c:v>
                </c:pt>
                <c:pt idx="13">
                  <c:v>86.994782894986784</c:v>
                </c:pt>
                <c:pt idx="14">
                  <c:v>73.124019210299551</c:v>
                </c:pt>
                <c:pt idx="15">
                  <c:v>67.402047656362157</c:v>
                </c:pt>
                <c:pt idx="16">
                  <c:v>94.706606990445451</c:v>
                </c:pt>
                <c:pt idx="17">
                  <c:v>90.352177400892799</c:v>
                </c:pt>
                <c:pt idx="18">
                  <c:v>89.614000000000004</c:v>
                </c:pt>
                <c:pt idx="19">
                  <c:v>39.203387226121414</c:v>
                </c:pt>
              </c:numCache>
            </c:numRef>
          </c:val>
          <c:extLst>
            <c:ext xmlns:c16="http://schemas.microsoft.com/office/drawing/2014/chart" uri="{C3380CC4-5D6E-409C-BE32-E72D297353CC}">
              <c16:uniqueId val="{00000000-4AD5-4299-BD23-F41EF85A8468}"/>
            </c:ext>
          </c:extLst>
        </c:ser>
        <c:dLbls>
          <c:showLegendKey val="0"/>
          <c:showVal val="1"/>
          <c:showCatName val="0"/>
          <c:showSerName val="0"/>
          <c:showPercent val="0"/>
          <c:showBubbleSize val="0"/>
        </c:dLbls>
        <c:gapWidth val="75"/>
        <c:axId val="138531968"/>
        <c:axId val="138533504"/>
      </c:barChart>
      <c:catAx>
        <c:axId val="138531968"/>
        <c:scaling>
          <c:orientation val="minMax"/>
        </c:scaling>
        <c:delete val="0"/>
        <c:axPos val="b"/>
        <c:numFmt formatCode="General" sourceLinked="1"/>
        <c:majorTickMark val="none"/>
        <c:minorTickMark val="none"/>
        <c:tickLblPos val="nextTo"/>
        <c:txPr>
          <a:bodyPr/>
          <a:lstStyle/>
          <a:p>
            <a:pPr>
              <a:defRPr sz="800"/>
            </a:pPr>
            <a:endParaRPr lang="th-TH"/>
          </a:p>
        </c:txPr>
        <c:crossAx val="138533504"/>
        <c:crosses val="autoZero"/>
        <c:auto val="1"/>
        <c:lblAlgn val="ctr"/>
        <c:lblOffset val="100"/>
        <c:noMultiLvlLbl val="0"/>
      </c:catAx>
      <c:valAx>
        <c:axId val="138533504"/>
        <c:scaling>
          <c:orientation val="minMax"/>
        </c:scaling>
        <c:delete val="0"/>
        <c:axPos val="l"/>
        <c:numFmt formatCode="#,##0.00" sourceLinked="1"/>
        <c:majorTickMark val="none"/>
        <c:minorTickMark val="none"/>
        <c:tickLblPos val="nextTo"/>
        <c:crossAx val="138531968"/>
        <c:crosses val="autoZero"/>
        <c:crossBetween val="between"/>
      </c:valAx>
    </c:plotArea>
    <c:plotVisOnly val="1"/>
    <c:dispBlanksAs val="gap"/>
    <c:showDLblsOverMax val="0"/>
  </c:chart>
  <c:printSettings>
    <c:headerFooter/>
    <c:pageMargins b="0.74803149606299735" l="0.70866141732284071" r="0.70866141732284071" t="0.74803149606299735" header="0.31496062992126472" footer="0.3149606299212647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'S6'!$A$112:$A$131</c:f>
              <c:strCache>
                <c:ptCount val="20"/>
                <c:pt idx="0">
                  <c:v>1.คณะครุศาสตร์ </c:v>
                </c:pt>
                <c:pt idx="1">
                  <c:v>2.คณะวิทยาศาสตร์ </c:v>
                </c:pt>
                <c:pt idx="2">
                  <c:v>3.คณะมนุษย์ฯ</c:v>
                </c:pt>
                <c:pt idx="3">
                  <c:v>4.คณะวิทยาการจัดการ </c:v>
                </c:pt>
                <c:pt idx="4">
                  <c:v>5.คณะเทคโนโลยีอุตสาหกรรม </c:v>
                </c:pt>
                <c:pt idx="5">
                  <c:v>6.คณะเทคโนโลยีการเกษตร </c:v>
                </c:pt>
                <c:pt idx="6">
                  <c:v>7.สำนักวิทยบริการฯ</c:v>
                </c:pt>
                <c:pt idx="7">
                  <c:v>8.สถาบันวิจัยและพัฒนา</c:v>
                </c:pt>
                <c:pt idx="8">
                  <c:v>9.สำนักศิลปะและวัฒนธรรม </c:v>
                </c:pt>
                <c:pt idx="9">
                  <c:v>10.หน่วยตรวจสอบภายใน </c:v>
                </c:pt>
                <c:pt idx="10">
                  <c:v>11.สำนักสภาคณาจารย์และข้าราชการ </c:v>
                </c:pt>
                <c:pt idx="11">
                  <c:v>12.โครงการจัดตั้งสถาบันภาษา </c:v>
                </c:pt>
                <c:pt idx="12">
                  <c:v>13.กองกลาง </c:v>
                </c:pt>
                <c:pt idx="13">
                  <c:v>14.กองนโยบายและแผน </c:v>
                </c:pt>
                <c:pt idx="14">
                  <c:v>15.กองบริการการศึกษา </c:v>
                </c:pt>
                <c:pt idx="15">
                  <c:v>16.สำนักงานประสานงานบัณฑิตศึกษา </c:v>
                </c:pt>
                <c:pt idx="16">
                  <c:v>17.กองพัฒนานักศึกษา </c:v>
                </c:pt>
                <c:pt idx="17">
                  <c:v>18.งบกลางมหาวิทยาลัยราชภัฏลำปาง </c:v>
                </c:pt>
                <c:pt idx="18">
                  <c:v>19.ศูนย์อบรมและการศึกษาต่อเนื่อง </c:v>
                </c:pt>
                <c:pt idx="19">
                  <c:v>20.โรงเรียสาธิตฯ</c:v>
                </c:pt>
              </c:strCache>
            </c:strRef>
          </c:cat>
          <c:val>
            <c:numRef>
              <c:f>'S6'!$B$112:$B$131</c:f>
              <c:numCache>
                <c:formatCode>#,##0.00</c:formatCode>
                <c:ptCount val="20"/>
                <c:pt idx="0">
                  <c:v>99.772965030646162</c:v>
                </c:pt>
                <c:pt idx="1">
                  <c:v>92.978608260335648</c:v>
                </c:pt>
                <c:pt idx="2">
                  <c:v>96.238273284920012</c:v>
                </c:pt>
                <c:pt idx="3">
                  <c:v>99.917434399855921</c:v>
                </c:pt>
                <c:pt idx="4">
                  <c:v>99.638412669889334</c:v>
                </c:pt>
                <c:pt idx="5">
                  <c:v>84.563344052708658</c:v>
                </c:pt>
                <c:pt idx="6">
                  <c:v>99.885165869518332</c:v>
                </c:pt>
                <c:pt idx="7">
                  <c:v>100</c:v>
                </c:pt>
                <c:pt idx="8">
                  <c:v>100</c:v>
                </c:pt>
                <c:pt idx="9">
                  <c:v>0</c:v>
                </c:pt>
                <c:pt idx="10">
                  <c:v>88.769414575866193</c:v>
                </c:pt>
                <c:pt idx="11">
                  <c:v>100</c:v>
                </c:pt>
                <c:pt idx="12">
                  <c:v>93.099112940100611</c:v>
                </c:pt>
                <c:pt idx="13">
                  <c:v>100</c:v>
                </c:pt>
                <c:pt idx="14">
                  <c:v>99.488483043913078</c:v>
                </c:pt>
                <c:pt idx="15">
                  <c:v>0</c:v>
                </c:pt>
                <c:pt idx="16">
                  <c:v>94.364170224552197</c:v>
                </c:pt>
                <c:pt idx="17">
                  <c:v>92.15201744345778</c:v>
                </c:pt>
                <c:pt idx="18">
                  <c:v>93.532000000000011</c:v>
                </c:pt>
                <c:pt idx="19">
                  <c:v>28.707195403404175</c:v>
                </c:pt>
              </c:numCache>
            </c:numRef>
          </c:val>
          <c:extLst>
            <c:ext xmlns:c16="http://schemas.microsoft.com/office/drawing/2014/chart" uri="{C3380CC4-5D6E-409C-BE32-E72D297353CC}">
              <c16:uniqueId val="{00000000-3DF9-4CC9-A3B2-46F778CA7D8C}"/>
            </c:ext>
          </c:extLst>
        </c:ser>
        <c:dLbls>
          <c:showLegendKey val="0"/>
          <c:showVal val="1"/>
          <c:showCatName val="0"/>
          <c:showSerName val="0"/>
          <c:showPercent val="0"/>
          <c:showBubbleSize val="0"/>
        </c:dLbls>
        <c:gapWidth val="150"/>
        <c:overlap val="-25"/>
        <c:axId val="138691712"/>
        <c:axId val="138693248"/>
      </c:barChart>
      <c:catAx>
        <c:axId val="138691712"/>
        <c:scaling>
          <c:orientation val="minMax"/>
        </c:scaling>
        <c:delete val="0"/>
        <c:axPos val="b"/>
        <c:numFmt formatCode="General" sourceLinked="0"/>
        <c:majorTickMark val="none"/>
        <c:minorTickMark val="none"/>
        <c:tickLblPos val="nextTo"/>
        <c:crossAx val="138693248"/>
        <c:crosses val="autoZero"/>
        <c:auto val="1"/>
        <c:lblAlgn val="ctr"/>
        <c:lblOffset val="100"/>
        <c:noMultiLvlLbl val="0"/>
      </c:catAx>
      <c:valAx>
        <c:axId val="138693248"/>
        <c:scaling>
          <c:orientation val="minMax"/>
        </c:scaling>
        <c:delete val="1"/>
        <c:axPos val="l"/>
        <c:numFmt formatCode="#,##0.00" sourceLinked="1"/>
        <c:majorTickMark val="out"/>
        <c:minorTickMark val="none"/>
        <c:tickLblPos val="nextTo"/>
        <c:crossAx val="138691712"/>
        <c:crosses val="autoZero"/>
        <c:crossBetween val="between"/>
      </c:valAx>
    </c:plotArea>
    <c:plotVisOnly val="1"/>
    <c:dispBlanksAs val="gap"/>
    <c:showDLblsOverMax val="0"/>
  </c:chart>
  <c:printSettings>
    <c:headerFooter/>
    <c:pageMargins b="0.75000000000000755" l="0.70000000000000062" r="0.70000000000000062" t="0.750000000000007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'S7'!$A$112:$A$131</c:f>
              <c:strCache>
                <c:ptCount val="20"/>
                <c:pt idx="0">
                  <c:v>1.คณะครุศาสตร์</c:v>
                </c:pt>
                <c:pt idx="1">
                  <c:v>2.คณะวิทยาศาสตร์</c:v>
                </c:pt>
                <c:pt idx="2">
                  <c:v>3.คณะมนุษย์ฯ</c:v>
                </c:pt>
                <c:pt idx="3">
                  <c:v>4.คณะวิทยาการจัดการ</c:v>
                </c:pt>
                <c:pt idx="4">
                  <c:v>5.คณะเทคโนโลยีอุตสาหกรรม</c:v>
                </c:pt>
                <c:pt idx="5">
                  <c:v>6.คณะเทคโนโลยีการเกษตร</c:v>
                </c:pt>
                <c:pt idx="6">
                  <c:v>7.สำนักวิทยบริการฯ</c:v>
                </c:pt>
                <c:pt idx="7">
                  <c:v>8.สถาบันวิจัยและพัฒนา</c:v>
                </c:pt>
                <c:pt idx="8">
                  <c:v>9.สำนักศิลปะและวัฒนธรรม</c:v>
                </c:pt>
                <c:pt idx="9">
                  <c:v>10.หน่วยตรวจสอบภายใน</c:v>
                </c:pt>
                <c:pt idx="10">
                  <c:v>11.สำนักสภาคณาจารย์และข้าราชการ</c:v>
                </c:pt>
                <c:pt idx="11">
                  <c:v>12.โครงการจัดตั้งสถาบันภาษา</c:v>
                </c:pt>
                <c:pt idx="12">
                  <c:v>13.กองกลาง</c:v>
                </c:pt>
                <c:pt idx="13">
                  <c:v>14.กองนโยบายและแผน</c:v>
                </c:pt>
                <c:pt idx="14">
                  <c:v>15.กองบริการการศึกษา</c:v>
                </c:pt>
                <c:pt idx="15">
                  <c:v>16.สำนักงานประสานงานบัณฑิตศึกษา</c:v>
                </c:pt>
                <c:pt idx="16">
                  <c:v>17.กองพัฒนานักศึกษา</c:v>
                </c:pt>
                <c:pt idx="17">
                  <c:v>18.งบกลางมหาวิทยาลัยราชภัฏลำปาง</c:v>
                </c:pt>
                <c:pt idx="18">
                  <c:v>19.ศูนย์อบรมและการศึกษาต่อเนื่อง</c:v>
                </c:pt>
                <c:pt idx="19">
                  <c:v>20.โรงเรียสาธิตฯ</c:v>
                </c:pt>
              </c:strCache>
            </c:strRef>
          </c:cat>
          <c:val>
            <c:numRef>
              <c:f>'S7'!$B$112:$B$131</c:f>
              <c:numCache>
                <c:formatCode>#,##0.00</c:formatCode>
                <c:ptCount val="20"/>
                <c:pt idx="0">
                  <c:v>91.933518254881193</c:v>
                </c:pt>
                <c:pt idx="1">
                  <c:v>92.762338562884636</c:v>
                </c:pt>
                <c:pt idx="2">
                  <c:v>91.023578038410108</c:v>
                </c:pt>
                <c:pt idx="3">
                  <c:v>97.517757234836481</c:v>
                </c:pt>
                <c:pt idx="4">
                  <c:v>87.91075676922955</c:v>
                </c:pt>
                <c:pt idx="5">
                  <c:v>96.552695434646665</c:v>
                </c:pt>
                <c:pt idx="6">
                  <c:v>92.872059230769239</c:v>
                </c:pt>
                <c:pt idx="7">
                  <c:v>90.448739286381809</c:v>
                </c:pt>
                <c:pt idx="8">
                  <c:v>97.267848101265812</c:v>
                </c:pt>
                <c:pt idx="9">
                  <c:v>62.56848484848485</c:v>
                </c:pt>
                <c:pt idx="10">
                  <c:v>42.712550607287447</c:v>
                </c:pt>
                <c:pt idx="11">
                  <c:v>76.344280845625448</c:v>
                </c:pt>
                <c:pt idx="12">
                  <c:v>82.567931666934882</c:v>
                </c:pt>
                <c:pt idx="13">
                  <c:v>82.118881150920913</c:v>
                </c:pt>
                <c:pt idx="14">
                  <c:v>39.907210767468499</c:v>
                </c:pt>
                <c:pt idx="15">
                  <c:v>67.402047656362157</c:v>
                </c:pt>
                <c:pt idx="16">
                  <c:v>95.093907664257344</c:v>
                </c:pt>
                <c:pt idx="17">
                  <c:v>78.949160008048821</c:v>
                </c:pt>
                <c:pt idx="18">
                  <c:v>84.716499999999996</c:v>
                </c:pt>
                <c:pt idx="19">
                  <c:v>40.65837971140067</c:v>
                </c:pt>
              </c:numCache>
            </c:numRef>
          </c:val>
          <c:extLst>
            <c:ext xmlns:c16="http://schemas.microsoft.com/office/drawing/2014/chart" uri="{C3380CC4-5D6E-409C-BE32-E72D297353CC}">
              <c16:uniqueId val="{00000000-A32E-49AE-B7AC-FB58C0641E8F}"/>
            </c:ext>
          </c:extLst>
        </c:ser>
        <c:dLbls>
          <c:showLegendKey val="0"/>
          <c:showVal val="1"/>
          <c:showCatName val="0"/>
          <c:showSerName val="0"/>
          <c:showPercent val="0"/>
          <c:showBubbleSize val="0"/>
        </c:dLbls>
        <c:gapWidth val="75"/>
        <c:axId val="138877184"/>
        <c:axId val="138883072"/>
      </c:barChart>
      <c:catAx>
        <c:axId val="138877184"/>
        <c:scaling>
          <c:orientation val="minMax"/>
        </c:scaling>
        <c:delete val="0"/>
        <c:axPos val="b"/>
        <c:numFmt formatCode="General" sourceLinked="0"/>
        <c:majorTickMark val="none"/>
        <c:minorTickMark val="none"/>
        <c:tickLblPos val="nextTo"/>
        <c:crossAx val="138883072"/>
        <c:crosses val="autoZero"/>
        <c:auto val="1"/>
        <c:lblAlgn val="ctr"/>
        <c:lblOffset val="100"/>
        <c:noMultiLvlLbl val="0"/>
      </c:catAx>
      <c:valAx>
        <c:axId val="138883072"/>
        <c:scaling>
          <c:orientation val="minMax"/>
        </c:scaling>
        <c:delete val="0"/>
        <c:axPos val="l"/>
        <c:numFmt formatCode="#,##0.00" sourceLinked="1"/>
        <c:majorTickMark val="none"/>
        <c:minorTickMark val="none"/>
        <c:tickLblPos val="nextTo"/>
        <c:crossAx val="138877184"/>
        <c:crosses val="autoZero"/>
        <c:crossBetween val="between"/>
      </c:valAx>
    </c:plotArea>
    <c:plotVisOnly val="1"/>
    <c:dispBlanksAs val="gap"/>
    <c:showDLblsOverMax val="0"/>
  </c:chart>
  <c:printSettings>
    <c:headerFooter/>
    <c:pageMargins b="0.75000000000000755" l="0.70000000000000062" r="0.70000000000000062" t="0.75000000000000755"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th-TH" sz="1400">
                <a:latin typeface="TH SarabunPSK" pitchFamily="34" charset="-34"/>
                <a:cs typeface="TH SarabunPSK" pitchFamily="34" charset="-34"/>
              </a:rPr>
              <a:t>กราฟสารสนเทศ แสดงผลเบิกจ่ายงบประมาณ จำแนกตามประเด็นกลยุทธ์และไตรมาส</a:t>
            </a:r>
          </a:p>
        </c:rich>
      </c:tx>
      <c:overlay val="0"/>
    </c:title>
    <c:autoTitleDeleted val="0"/>
    <c:plotArea>
      <c:layout/>
      <c:lineChart>
        <c:grouping val="standard"/>
        <c:varyColors val="0"/>
        <c:ser>
          <c:idx val="0"/>
          <c:order val="0"/>
          <c:tx>
            <c:strRef>
              <c:f>'S9'!$B$3</c:f>
              <c:strCache>
                <c:ptCount val="1"/>
                <c:pt idx="0">
                  <c:v>เป้าหมาย</c:v>
                </c:pt>
              </c:strCache>
            </c:strRef>
          </c:tx>
          <c:dLbls>
            <c:dLbl>
              <c:idx val="1"/>
              <c:layout>
                <c:manualLayout>
                  <c:x val="0"/>
                  <c:y val="1.3503980875326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43-4652-9DAB-39D179344371}"/>
                </c:ext>
              </c:extLst>
            </c:dLbl>
            <c:dLbl>
              <c:idx val="3"/>
              <c:layout>
                <c:manualLayout>
                  <c:x val="-1.0524934037006893E-16"/>
                  <c:y val="-2.8268545993239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7E-4AEE-B2BB-E6A5CAA4F14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'S9'!$B$4:$B$7</c:f>
              <c:numCache>
                <c:formatCode>0.00</c:formatCode>
                <c:ptCount val="4"/>
                <c:pt idx="0">
                  <c:v>32</c:v>
                </c:pt>
                <c:pt idx="1">
                  <c:v>54</c:v>
                </c:pt>
                <c:pt idx="2">
                  <c:v>77</c:v>
                </c:pt>
                <c:pt idx="3">
                  <c:v>100</c:v>
                </c:pt>
              </c:numCache>
            </c:numRef>
          </c:val>
          <c:smooth val="0"/>
          <c:extLst>
            <c:ext xmlns:c16="http://schemas.microsoft.com/office/drawing/2014/chart" uri="{C3380CC4-5D6E-409C-BE32-E72D297353CC}">
              <c16:uniqueId val="{00000001-C043-4652-9DAB-39D179344371}"/>
            </c:ext>
          </c:extLst>
        </c:ser>
        <c:ser>
          <c:idx val="1"/>
          <c:order val="1"/>
          <c:tx>
            <c:strRef>
              <c:f>'S9'!$C$3</c:f>
              <c:strCache>
                <c:ptCount val="1"/>
                <c:pt idx="0">
                  <c:v>ประเด็นกลยุทธ์ที่ 1</c:v>
                </c:pt>
              </c:strCache>
            </c:strRef>
          </c:tx>
          <c:dLbls>
            <c:dLbl>
              <c:idx val="1"/>
              <c:layout>
                <c:manualLayout>
                  <c:x val="0"/>
                  <c:y val="2.591264833798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43-4652-9DAB-39D179344371}"/>
                </c:ext>
              </c:extLst>
            </c:dLbl>
            <c:dLbl>
              <c:idx val="2"/>
              <c:layout>
                <c:manualLayout>
                  <c:x val="1.435234857537684E-3"/>
                  <c:y val="3.53356824915495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BC-44BA-ADAF-C3B939DAA643}"/>
                </c:ext>
              </c:extLst>
            </c:dLbl>
            <c:dLbl>
              <c:idx val="3"/>
              <c:layout>
                <c:manualLayout>
                  <c:x val="0"/>
                  <c:y val="2.5912833827136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43-4652-9DAB-39D1793443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'S9'!$C$4:$C$7</c:f>
              <c:numCache>
                <c:formatCode>General</c:formatCode>
                <c:ptCount val="4"/>
                <c:pt idx="0" formatCode="#,##0.00">
                  <c:v>23.690857312082354</c:v>
                </c:pt>
                <c:pt idx="1">
                  <c:v>52.79</c:v>
                </c:pt>
                <c:pt idx="2" formatCode="0.00">
                  <c:v>78.38</c:v>
                </c:pt>
                <c:pt idx="3" formatCode="#,##0.00">
                  <c:v>94.454158391680409</c:v>
                </c:pt>
              </c:numCache>
            </c:numRef>
          </c:val>
          <c:smooth val="0"/>
          <c:extLst>
            <c:ext xmlns:c16="http://schemas.microsoft.com/office/drawing/2014/chart" uri="{C3380CC4-5D6E-409C-BE32-E72D297353CC}">
              <c16:uniqueId val="{00000004-C043-4652-9DAB-39D179344371}"/>
            </c:ext>
          </c:extLst>
        </c:ser>
        <c:ser>
          <c:idx val="2"/>
          <c:order val="2"/>
          <c:tx>
            <c:strRef>
              <c:f>'S9'!$D$3</c:f>
              <c:strCache>
                <c:ptCount val="1"/>
                <c:pt idx="0">
                  <c:v>ประเด็นกลยุทธ์ที่ 2</c:v>
                </c:pt>
              </c:strCache>
            </c:strRef>
          </c:tx>
          <c:dLbls>
            <c:dLbl>
              <c:idx val="1"/>
              <c:layout>
                <c:manualLayout>
                  <c:x val="0"/>
                  <c:y val="2.35571216610330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43-4652-9DAB-39D179344371}"/>
                </c:ext>
              </c:extLst>
            </c:dLbl>
            <c:dLbl>
              <c:idx val="2"/>
              <c:layout>
                <c:manualLayout>
                  <c:x val="0"/>
                  <c:y val="9.42284866441325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43-4652-9DAB-39D1793443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'S9'!$D$4:$D$7</c:f>
              <c:numCache>
                <c:formatCode>General</c:formatCode>
                <c:ptCount val="4"/>
                <c:pt idx="0" formatCode="#,##0.00">
                  <c:v>44.217161406230858</c:v>
                </c:pt>
                <c:pt idx="1">
                  <c:v>58.18</c:v>
                </c:pt>
                <c:pt idx="2" formatCode="0.00">
                  <c:v>83.45</c:v>
                </c:pt>
                <c:pt idx="3" formatCode="#,##0.00">
                  <c:v>97.838195663713208</c:v>
                </c:pt>
              </c:numCache>
            </c:numRef>
          </c:val>
          <c:smooth val="0"/>
          <c:extLst>
            <c:ext xmlns:c16="http://schemas.microsoft.com/office/drawing/2014/chart" uri="{C3380CC4-5D6E-409C-BE32-E72D297353CC}">
              <c16:uniqueId val="{00000007-C043-4652-9DAB-39D179344371}"/>
            </c:ext>
          </c:extLst>
        </c:ser>
        <c:ser>
          <c:idx val="3"/>
          <c:order val="3"/>
          <c:tx>
            <c:strRef>
              <c:f>'S9'!$E$3</c:f>
              <c:strCache>
                <c:ptCount val="1"/>
                <c:pt idx="0">
                  <c:v>ประเด็นกลยุทธ์ที่ 3</c:v>
                </c:pt>
              </c:strCache>
            </c:strRef>
          </c:tx>
          <c:dLbls>
            <c:dLbl>
              <c:idx val="1"/>
              <c:layout>
                <c:manualLayout>
                  <c:x val="0"/>
                  <c:y val="-4.71142433220661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43-4652-9DAB-39D179344371}"/>
                </c:ext>
              </c:extLst>
            </c:dLbl>
            <c:dLbl>
              <c:idx val="3"/>
              <c:layout>
                <c:manualLayout>
                  <c:x val="0"/>
                  <c:y val="3.06242581593429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43-4652-9DAB-39D1793443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'S9'!$E$4:$E$7</c:f>
              <c:numCache>
                <c:formatCode>General</c:formatCode>
                <c:ptCount val="4"/>
                <c:pt idx="0" formatCode="#,##0.00">
                  <c:v>5.1749875096322366</c:v>
                </c:pt>
                <c:pt idx="1">
                  <c:v>21.61</c:v>
                </c:pt>
                <c:pt idx="2" formatCode="0.00">
                  <c:v>52.73</c:v>
                </c:pt>
                <c:pt idx="3" formatCode="#,##0.00">
                  <c:v>81.108023636392531</c:v>
                </c:pt>
              </c:numCache>
            </c:numRef>
          </c:val>
          <c:smooth val="0"/>
          <c:extLst>
            <c:ext xmlns:c16="http://schemas.microsoft.com/office/drawing/2014/chart" uri="{C3380CC4-5D6E-409C-BE32-E72D297353CC}">
              <c16:uniqueId val="{0000000A-C043-4652-9DAB-39D179344371}"/>
            </c:ext>
          </c:extLst>
        </c:ser>
        <c:ser>
          <c:idx val="4"/>
          <c:order val="4"/>
          <c:tx>
            <c:strRef>
              <c:f>'S9'!$F$3</c:f>
              <c:strCache>
                <c:ptCount val="1"/>
                <c:pt idx="0">
                  <c:v>ประเด็นกลยุทธ์ที่ 4</c:v>
                </c:pt>
              </c:strCache>
            </c:strRef>
          </c:tx>
          <c:dLbls>
            <c:dLbl>
              <c:idx val="0"/>
              <c:layout>
                <c:manualLayout>
                  <c:x val="0"/>
                  <c:y val="2.5912833827136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43-4652-9DAB-39D179344371}"/>
                </c:ext>
              </c:extLst>
            </c:dLbl>
            <c:dLbl>
              <c:idx val="1"/>
              <c:layout>
                <c:manualLayout>
                  <c:x val="0"/>
                  <c:y val="3.427802337571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043-4652-9DAB-39D179344371}"/>
                </c:ext>
              </c:extLst>
            </c:dLbl>
            <c:dLbl>
              <c:idx val="2"/>
              <c:layout>
                <c:manualLayout>
                  <c:x val="0"/>
                  <c:y val="4.711424332206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043-4652-9DAB-39D1793443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'S9'!$F$4:$F$7</c:f>
              <c:numCache>
                <c:formatCode>General</c:formatCode>
                <c:ptCount val="4"/>
                <c:pt idx="0" formatCode="#,##0.00">
                  <c:v>22.686852888985989</c:v>
                </c:pt>
                <c:pt idx="1">
                  <c:v>37.83</c:v>
                </c:pt>
                <c:pt idx="2" formatCode="0.00">
                  <c:v>66.819999999999993</c:v>
                </c:pt>
                <c:pt idx="3" formatCode="#,##0.00">
                  <c:v>95.452215031359728</c:v>
                </c:pt>
              </c:numCache>
            </c:numRef>
          </c:val>
          <c:smooth val="0"/>
          <c:extLst>
            <c:ext xmlns:c16="http://schemas.microsoft.com/office/drawing/2014/chart" uri="{C3380CC4-5D6E-409C-BE32-E72D297353CC}">
              <c16:uniqueId val="{0000000E-C043-4652-9DAB-39D179344371}"/>
            </c:ext>
          </c:extLst>
        </c:ser>
        <c:ser>
          <c:idx val="5"/>
          <c:order val="5"/>
          <c:tx>
            <c:strRef>
              <c:f>'S9'!$G$3</c:f>
              <c:strCache>
                <c:ptCount val="1"/>
                <c:pt idx="0">
                  <c:v>ประเด็นกลยุทธ์ที่ 5</c:v>
                </c:pt>
              </c:strCache>
            </c:strRef>
          </c:tx>
          <c:dLbls>
            <c:dLbl>
              <c:idx val="0"/>
              <c:layout>
                <c:manualLayout>
                  <c:x val="0"/>
                  <c:y val="9.07029478458050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043-4652-9DAB-39D179344371}"/>
                </c:ext>
              </c:extLst>
            </c:dLbl>
            <c:dLbl>
              <c:idx val="1"/>
              <c:layout>
                <c:manualLayout>
                  <c:x val="0"/>
                  <c:y val="3.0234315948602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043-4652-9DAB-39D179344371}"/>
                </c:ext>
              </c:extLst>
            </c:dLbl>
            <c:dLbl>
              <c:idx val="2"/>
              <c:layout>
                <c:manualLayout>
                  <c:x val="0"/>
                  <c:y val="2.5912833827136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BC-44BA-ADAF-C3B939DAA6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'S9'!$G$4:$G$7</c:f>
              <c:numCache>
                <c:formatCode>#,##0.00</c:formatCode>
                <c:ptCount val="4"/>
                <c:pt idx="0">
                  <c:v>11.034903083823238</c:v>
                </c:pt>
                <c:pt idx="1">
                  <c:v>32.303311599294673</c:v>
                </c:pt>
                <c:pt idx="2" formatCode="0.00">
                  <c:v>63.62</c:v>
                </c:pt>
                <c:pt idx="3">
                  <c:v>84.147344879535694</c:v>
                </c:pt>
              </c:numCache>
            </c:numRef>
          </c:val>
          <c:smooth val="0"/>
          <c:extLst>
            <c:ext xmlns:c16="http://schemas.microsoft.com/office/drawing/2014/chart" uri="{C3380CC4-5D6E-409C-BE32-E72D297353CC}">
              <c16:uniqueId val="{00000011-C043-4652-9DAB-39D179344371}"/>
            </c:ext>
          </c:extLst>
        </c:ser>
        <c:ser>
          <c:idx val="6"/>
          <c:order val="6"/>
          <c:tx>
            <c:strRef>
              <c:f>'S9'!$H$3</c:f>
              <c:strCache>
                <c:ptCount val="1"/>
                <c:pt idx="0">
                  <c:v>ประเด็นกลยุทธ์ที่ 6</c:v>
                </c:pt>
              </c:strCache>
            </c:strRef>
          </c:tx>
          <c:dLbls>
            <c:dLbl>
              <c:idx val="0"/>
              <c:layout>
                <c:manualLayout>
                  <c:x val="0"/>
                  <c:y val="1.4134272996619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043-4652-9DAB-39D179344371}"/>
                </c:ext>
              </c:extLst>
            </c:dLbl>
            <c:dLbl>
              <c:idx val="3"/>
              <c:layout>
                <c:manualLayout>
                  <c:x val="0"/>
                  <c:y val="-2.82685459932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043-4652-9DAB-39D1793443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'S9'!$A$4:$A$7</c:f>
              <c:strCache>
                <c:ptCount val="4"/>
                <c:pt idx="0">
                  <c:v>ไตรมาส 1</c:v>
                </c:pt>
                <c:pt idx="1">
                  <c:v>ไตรมาส 2</c:v>
                </c:pt>
                <c:pt idx="2">
                  <c:v>ไตรมาส 3</c:v>
                </c:pt>
                <c:pt idx="3">
                  <c:v>ไตรมาส 4</c:v>
                </c:pt>
              </c:strCache>
            </c:strRef>
          </c:cat>
          <c:val>
            <c:numRef>
              <c:f>'S9'!$H$4:$H$7</c:f>
              <c:numCache>
                <c:formatCode>General</c:formatCode>
                <c:ptCount val="4"/>
                <c:pt idx="0" formatCode="#,##0.00">
                  <c:v>5.8367661563709605</c:v>
                </c:pt>
                <c:pt idx="1">
                  <c:v>13.87</c:v>
                </c:pt>
                <c:pt idx="2" formatCode="0.00">
                  <c:v>28.24</c:v>
                </c:pt>
                <c:pt idx="3" formatCode="#,##0.00">
                  <c:v>69.625295047801657</c:v>
                </c:pt>
              </c:numCache>
            </c:numRef>
          </c:val>
          <c:smooth val="0"/>
          <c:extLst>
            <c:ext xmlns:c16="http://schemas.microsoft.com/office/drawing/2014/chart" uri="{C3380CC4-5D6E-409C-BE32-E72D297353CC}">
              <c16:uniqueId val="{00000014-C043-4652-9DAB-39D179344371}"/>
            </c:ext>
          </c:extLst>
        </c:ser>
        <c:dLbls>
          <c:showLegendKey val="0"/>
          <c:showVal val="1"/>
          <c:showCatName val="0"/>
          <c:showSerName val="0"/>
          <c:showPercent val="0"/>
          <c:showBubbleSize val="0"/>
        </c:dLbls>
        <c:marker val="1"/>
        <c:smooth val="0"/>
        <c:axId val="137960448"/>
        <c:axId val="137986816"/>
      </c:lineChart>
      <c:catAx>
        <c:axId val="137960448"/>
        <c:scaling>
          <c:orientation val="minMax"/>
        </c:scaling>
        <c:delete val="0"/>
        <c:axPos val="b"/>
        <c:numFmt formatCode="General" sourceLinked="0"/>
        <c:majorTickMark val="none"/>
        <c:minorTickMark val="none"/>
        <c:tickLblPos val="nextTo"/>
        <c:crossAx val="137986816"/>
        <c:crosses val="autoZero"/>
        <c:auto val="1"/>
        <c:lblAlgn val="ctr"/>
        <c:lblOffset val="100"/>
        <c:noMultiLvlLbl val="0"/>
      </c:catAx>
      <c:valAx>
        <c:axId val="137986816"/>
        <c:scaling>
          <c:orientation val="minMax"/>
        </c:scaling>
        <c:delete val="0"/>
        <c:axPos val="l"/>
        <c:majorGridlines/>
        <c:numFmt formatCode="0.00" sourceLinked="1"/>
        <c:majorTickMark val="none"/>
        <c:minorTickMark val="none"/>
        <c:tickLblPos val="nextTo"/>
        <c:crossAx val="137960448"/>
        <c:crosses val="autoZero"/>
        <c:crossBetween val="between"/>
      </c:valAx>
    </c:plotArea>
    <c:legend>
      <c:legendPos val="r"/>
      <c:overlay val="0"/>
    </c:legend>
    <c:plotVisOnly val="1"/>
    <c:dispBlanksAs val="gap"/>
    <c:showDLblsOverMax val="0"/>
  </c:chart>
  <c:printSettings>
    <c:headerFooter>
      <c:oddHeader>&amp;R&amp;P</c:oddHeader>
    </c:headerFooter>
    <c:pageMargins b="0.74803149606299502" l="0.70866141732283794" r="0.70866141732283794" t="0.74803149606299502" header="0.31496062992126261" footer="0.31496062992126261"/>
    <c:pageSetup paperSize="9" firstPageNumber="27" orientation="landscape" useFirstPageNumber="1"/>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1"/>
          <c:order val="0"/>
          <c:tx>
            <c:strRef>
              <c:f>Sheet2!$A$2</c:f>
              <c:strCache>
                <c:ptCount val="1"/>
                <c:pt idx="0">
                  <c:v>แผ่นดิน</c:v>
                </c:pt>
              </c:strCache>
            </c:strRef>
          </c:tx>
          <c:dLbls>
            <c:dLbl>
              <c:idx val="2"/>
              <c:delete val="1"/>
              <c:extLst>
                <c:ext xmlns:c15="http://schemas.microsoft.com/office/drawing/2012/chart" uri="{CE6537A1-D6FC-4f65-9D91-7224C49458BB}"/>
                <c:ext xmlns:c16="http://schemas.microsoft.com/office/drawing/2014/chart" uri="{C3380CC4-5D6E-409C-BE32-E72D297353CC}">
                  <c16:uniqueId val="{00000000-C046-40B5-BAC2-13CAB0F18204}"/>
                </c:ext>
              </c:extLst>
            </c:dLbl>
            <c:dLbl>
              <c:idx val="3"/>
              <c:delete val="1"/>
              <c:extLst>
                <c:ext xmlns:c15="http://schemas.microsoft.com/office/drawing/2012/chart" uri="{CE6537A1-D6FC-4f65-9D91-7224C49458BB}"/>
                <c:ext xmlns:c16="http://schemas.microsoft.com/office/drawing/2014/chart" uri="{C3380CC4-5D6E-409C-BE32-E72D297353CC}">
                  <c16:uniqueId val="{00000001-C046-40B5-BAC2-13CAB0F1820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Sheet2!$B$1:$E$1</c:f>
              <c:strCache>
                <c:ptCount val="4"/>
                <c:pt idx="0">
                  <c:v>ไตรมาส 1</c:v>
                </c:pt>
                <c:pt idx="1">
                  <c:v>ไตรมาส 2</c:v>
                </c:pt>
                <c:pt idx="2">
                  <c:v>ไตรมาส 3</c:v>
                </c:pt>
                <c:pt idx="3">
                  <c:v>ไตรมาส 4</c:v>
                </c:pt>
              </c:strCache>
            </c:strRef>
          </c:cat>
          <c:val>
            <c:numRef>
              <c:f>Sheet2!$B$2:$C$2</c:f>
              <c:numCache>
                <c:formatCode>#,##0.00</c:formatCode>
                <c:ptCount val="2"/>
                <c:pt idx="0">
                  <c:v>19.265043503637681</c:v>
                </c:pt>
                <c:pt idx="1">
                  <c:v>92.78517364770255</c:v>
                </c:pt>
              </c:numCache>
            </c:numRef>
          </c:val>
          <c:smooth val="0"/>
          <c:extLst>
            <c:ext xmlns:c16="http://schemas.microsoft.com/office/drawing/2014/chart" uri="{C3380CC4-5D6E-409C-BE32-E72D297353CC}">
              <c16:uniqueId val="{00000002-C046-40B5-BAC2-13CAB0F18204}"/>
            </c:ext>
          </c:extLst>
        </c:ser>
        <c:ser>
          <c:idx val="2"/>
          <c:order val="1"/>
          <c:tx>
            <c:strRef>
              <c:f>Sheet2!$A$3</c:f>
              <c:strCache>
                <c:ptCount val="1"/>
                <c:pt idx="0">
                  <c:v>รายได้</c:v>
                </c:pt>
              </c:strCache>
            </c:strRef>
          </c:tx>
          <c:dLbls>
            <c:dLbl>
              <c:idx val="0"/>
              <c:layout>
                <c:manualLayout>
                  <c:x val="0"/>
                  <c:y val="2.2988505747126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46-40B5-BAC2-13CAB0F18204}"/>
                </c:ext>
              </c:extLst>
            </c:dLbl>
            <c:dLbl>
              <c:idx val="2"/>
              <c:delete val="1"/>
              <c:extLst>
                <c:ext xmlns:c15="http://schemas.microsoft.com/office/drawing/2012/chart" uri="{CE6537A1-D6FC-4f65-9D91-7224C49458BB}"/>
                <c:ext xmlns:c16="http://schemas.microsoft.com/office/drawing/2014/chart" uri="{C3380CC4-5D6E-409C-BE32-E72D297353CC}">
                  <c16:uniqueId val="{00000004-C046-40B5-BAC2-13CAB0F18204}"/>
                </c:ext>
              </c:extLst>
            </c:dLbl>
            <c:dLbl>
              <c:idx val="3"/>
              <c:delete val="1"/>
              <c:extLst>
                <c:ext xmlns:c15="http://schemas.microsoft.com/office/drawing/2012/chart" uri="{CE6537A1-D6FC-4f65-9D91-7224C49458BB}"/>
                <c:ext xmlns:c16="http://schemas.microsoft.com/office/drawing/2014/chart" uri="{C3380CC4-5D6E-409C-BE32-E72D297353CC}">
                  <c16:uniqueId val="{00000005-C046-40B5-BAC2-13CAB0F1820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Sheet2!$B$1:$E$1</c:f>
              <c:strCache>
                <c:ptCount val="4"/>
                <c:pt idx="0">
                  <c:v>ไตรมาส 1</c:v>
                </c:pt>
                <c:pt idx="1">
                  <c:v>ไตรมาส 2</c:v>
                </c:pt>
                <c:pt idx="2">
                  <c:v>ไตรมาส 3</c:v>
                </c:pt>
                <c:pt idx="3">
                  <c:v>ไตรมาส 4</c:v>
                </c:pt>
              </c:strCache>
            </c:strRef>
          </c:cat>
          <c:val>
            <c:numRef>
              <c:f>Sheet2!$B$3:$C$3</c:f>
              <c:numCache>
                <c:formatCode>#,##0.00</c:formatCode>
                <c:ptCount val="2"/>
                <c:pt idx="0">
                  <c:v>14.975682824956484</c:v>
                </c:pt>
                <c:pt idx="1">
                  <c:v>78.038103519236117</c:v>
                </c:pt>
              </c:numCache>
            </c:numRef>
          </c:val>
          <c:smooth val="0"/>
          <c:extLst>
            <c:ext xmlns:c16="http://schemas.microsoft.com/office/drawing/2014/chart" uri="{C3380CC4-5D6E-409C-BE32-E72D297353CC}">
              <c16:uniqueId val="{00000006-C046-40B5-BAC2-13CAB0F18204}"/>
            </c:ext>
          </c:extLst>
        </c:ser>
        <c:ser>
          <c:idx val="3"/>
          <c:order val="2"/>
          <c:tx>
            <c:strRef>
              <c:f>Sheet2!$A$4</c:f>
              <c:strCache>
                <c:ptCount val="1"/>
                <c:pt idx="0">
                  <c:v>รวม</c:v>
                </c:pt>
              </c:strCache>
            </c:strRef>
          </c:tx>
          <c:dLbls>
            <c:dLbl>
              <c:idx val="1"/>
              <c:layout>
                <c:manualLayout>
                  <c:x val="0"/>
                  <c:y val="2.2988505747126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46-40B5-BAC2-13CAB0F18204}"/>
                </c:ext>
              </c:extLst>
            </c:dLbl>
            <c:dLbl>
              <c:idx val="2"/>
              <c:delete val="1"/>
              <c:extLst>
                <c:ext xmlns:c15="http://schemas.microsoft.com/office/drawing/2012/chart" uri="{CE6537A1-D6FC-4f65-9D91-7224C49458BB}"/>
                <c:ext xmlns:c16="http://schemas.microsoft.com/office/drawing/2014/chart" uri="{C3380CC4-5D6E-409C-BE32-E72D297353CC}">
                  <c16:uniqueId val="{00000008-C046-40B5-BAC2-13CAB0F18204}"/>
                </c:ext>
              </c:extLst>
            </c:dLbl>
            <c:dLbl>
              <c:idx val="3"/>
              <c:delete val="1"/>
              <c:extLst>
                <c:ext xmlns:c15="http://schemas.microsoft.com/office/drawing/2012/chart" uri="{CE6537A1-D6FC-4f65-9D91-7224C49458BB}"/>
                <c:ext xmlns:c16="http://schemas.microsoft.com/office/drawing/2014/chart" uri="{C3380CC4-5D6E-409C-BE32-E72D297353CC}">
                  <c16:uniqueId val="{00000009-C046-40B5-BAC2-13CAB0F1820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Sheet2!$B$1:$E$1</c:f>
              <c:strCache>
                <c:ptCount val="4"/>
                <c:pt idx="0">
                  <c:v>ไตรมาส 1</c:v>
                </c:pt>
                <c:pt idx="1">
                  <c:v>ไตรมาส 2</c:v>
                </c:pt>
                <c:pt idx="2">
                  <c:v>ไตรมาส 3</c:v>
                </c:pt>
                <c:pt idx="3">
                  <c:v>ไตรมาส 4</c:v>
                </c:pt>
              </c:strCache>
            </c:strRef>
          </c:cat>
          <c:val>
            <c:numRef>
              <c:f>Sheet2!$B$4:$C$4</c:f>
              <c:numCache>
                <c:formatCode>#,##0.00</c:formatCode>
                <c:ptCount val="2"/>
                <c:pt idx="0">
                  <c:v>19.265043503637681</c:v>
                </c:pt>
                <c:pt idx="1">
                  <c:v>90.04646985775328</c:v>
                </c:pt>
              </c:numCache>
            </c:numRef>
          </c:val>
          <c:smooth val="0"/>
          <c:extLst>
            <c:ext xmlns:c16="http://schemas.microsoft.com/office/drawing/2014/chart" uri="{C3380CC4-5D6E-409C-BE32-E72D297353CC}">
              <c16:uniqueId val="{0000000A-C046-40B5-BAC2-13CAB0F18204}"/>
            </c:ext>
          </c:extLst>
        </c:ser>
        <c:ser>
          <c:idx val="0"/>
          <c:order val="3"/>
          <c:tx>
            <c:strRef>
              <c:f>Sheet2!$A$5</c:f>
              <c:strCache>
                <c:ptCount val="1"/>
                <c:pt idx="0">
                  <c:v>เป้าหมาย</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Sheet2!$B$1:$E$1</c:f>
              <c:strCache>
                <c:ptCount val="4"/>
                <c:pt idx="0">
                  <c:v>ไตรมาส 1</c:v>
                </c:pt>
                <c:pt idx="1">
                  <c:v>ไตรมาส 2</c:v>
                </c:pt>
                <c:pt idx="2">
                  <c:v>ไตรมาส 3</c:v>
                </c:pt>
                <c:pt idx="3">
                  <c:v>ไตรมาส 4</c:v>
                </c:pt>
              </c:strCache>
            </c:strRef>
          </c:cat>
          <c:val>
            <c:numRef>
              <c:f>Sheet2!$B$5:$E$5</c:f>
              <c:numCache>
                <c:formatCode>0.00</c:formatCode>
                <c:ptCount val="4"/>
                <c:pt idx="0">
                  <c:v>32</c:v>
                </c:pt>
                <c:pt idx="1">
                  <c:v>54</c:v>
                </c:pt>
                <c:pt idx="2">
                  <c:v>77</c:v>
                </c:pt>
                <c:pt idx="3">
                  <c:v>100</c:v>
                </c:pt>
              </c:numCache>
            </c:numRef>
          </c:val>
          <c:smooth val="0"/>
          <c:extLst>
            <c:ext xmlns:c16="http://schemas.microsoft.com/office/drawing/2014/chart" uri="{C3380CC4-5D6E-409C-BE32-E72D297353CC}">
              <c16:uniqueId val="{0000000B-C046-40B5-BAC2-13CAB0F18204}"/>
            </c:ext>
          </c:extLst>
        </c:ser>
        <c:dLbls>
          <c:showLegendKey val="0"/>
          <c:showVal val="1"/>
          <c:showCatName val="0"/>
          <c:showSerName val="0"/>
          <c:showPercent val="0"/>
          <c:showBubbleSize val="0"/>
        </c:dLbls>
        <c:marker val="1"/>
        <c:smooth val="0"/>
        <c:axId val="139106176"/>
        <c:axId val="139107712"/>
      </c:lineChart>
      <c:catAx>
        <c:axId val="139106176"/>
        <c:scaling>
          <c:orientation val="minMax"/>
        </c:scaling>
        <c:delete val="0"/>
        <c:axPos val="b"/>
        <c:numFmt formatCode="General" sourceLinked="0"/>
        <c:majorTickMark val="none"/>
        <c:minorTickMark val="none"/>
        <c:tickLblPos val="nextTo"/>
        <c:crossAx val="139107712"/>
        <c:crosses val="autoZero"/>
        <c:auto val="1"/>
        <c:lblAlgn val="ctr"/>
        <c:lblOffset val="100"/>
        <c:noMultiLvlLbl val="0"/>
      </c:catAx>
      <c:valAx>
        <c:axId val="139107712"/>
        <c:scaling>
          <c:orientation val="minMax"/>
        </c:scaling>
        <c:delete val="0"/>
        <c:axPos val="l"/>
        <c:majorGridlines/>
        <c:numFmt formatCode="#,##0.00" sourceLinked="1"/>
        <c:majorTickMark val="none"/>
        <c:minorTickMark val="none"/>
        <c:tickLblPos val="nextTo"/>
        <c:crossAx val="139106176"/>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h-T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Sheet1!$B$1</c:f>
              <c:strCache>
                <c:ptCount val="1"/>
                <c:pt idx="0">
                  <c:v>แผนดิน</c:v>
                </c:pt>
              </c:strCache>
            </c:strRef>
          </c:tx>
          <c:invertIfNegative val="0"/>
          <c:cat>
            <c:strRef>
              <c:f>Sheet1!$A$2:$A$7</c:f>
              <c:strCache>
                <c:ptCount val="6"/>
                <c:pt idx="0">
                  <c:v>งบบุคลากร</c:v>
                </c:pt>
                <c:pt idx="1">
                  <c:v>งบดำเนินเงิน</c:v>
                </c:pt>
                <c:pt idx="2">
                  <c:v>งบลงทุน</c:v>
                </c:pt>
                <c:pt idx="3">
                  <c:v>งบอุดหนุน</c:v>
                </c:pt>
                <c:pt idx="4">
                  <c:v>งบรายจ่ายอื่น</c:v>
                </c:pt>
                <c:pt idx="5">
                  <c:v>รวม</c:v>
                </c:pt>
              </c:strCache>
            </c:strRef>
          </c:cat>
          <c:val>
            <c:numRef>
              <c:f>Sheet1!$B$2:$B$7</c:f>
              <c:numCache>
                <c:formatCode>#,##0.00</c:formatCode>
                <c:ptCount val="6"/>
                <c:pt idx="0">
                  <c:v>100</c:v>
                </c:pt>
                <c:pt idx="1">
                  <c:v>97.046747901294367</c:v>
                </c:pt>
                <c:pt idx="2">
                  <c:v>75.141458182614315</c:v>
                </c:pt>
                <c:pt idx="3">
                  <c:v>99.77878955353394</c:v>
                </c:pt>
                <c:pt idx="4">
                  <c:v>100</c:v>
                </c:pt>
                <c:pt idx="5">
                  <c:v>92.78517364770255</c:v>
                </c:pt>
              </c:numCache>
            </c:numRef>
          </c:val>
          <c:extLst>
            <c:ext xmlns:c16="http://schemas.microsoft.com/office/drawing/2014/chart" uri="{C3380CC4-5D6E-409C-BE32-E72D297353CC}">
              <c16:uniqueId val="{00000000-23BE-4F72-BC67-AD014620B89D}"/>
            </c:ext>
          </c:extLst>
        </c:ser>
        <c:ser>
          <c:idx val="1"/>
          <c:order val="1"/>
          <c:tx>
            <c:strRef>
              <c:f>Sheet1!$C$1</c:f>
              <c:strCache>
                <c:ptCount val="1"/>
                <c:pt idx="0">
                  <c:v>รายได้</c:v>
                </c:pt>
              </c:strCache>
            </c:strRef>
          </c:tx>
          <c:invertIfNegative val="0"/>
          <c:cat>
            <c:strRef>
              <c:f>Sheet1!$A$2:$A$7</c:f>
              <c:strCache>
                <c:ptCount val="6"/>
                <c:pt idx="0">
                  <c:v>งบบุคลากร</c:v>
                </c:pt>
                <c:pt idx="1">
                  <c:v>งบดำเนินเงิน</c:v>
                </c:pt>
                <c:pt idx="2">
                  <c:v>งบลงทุน</c:v>
                </c:pt>
                <c:pt idx="3">
                  <c:v>งบอุดหนุน</c:v>
                </c:pt>
                <c:pt idx="4">
                  <c:v>งบรายจ่ายอื่น</c:v>
                </c:pt>
                <c:pt idx="5">
                  <c:v>รวม</c:v>
                </c:pt>
              </c:strCache>
            </c:strRef>
          </c:cat>
          <c:val>
            <c:numRef>
              <c:f>Sheet1!$C$2:$C$7</c:f>
              <c:numCache>
                <c:formatCode>#,##0.00</c:formatCode>
                <c:ptCount val="6"/>
                <c:pt idx="0">
                  <c:v>0</c:v>
                </c:pt>
                <c:pt idx="1">
                  <c:v>82.608044072771776</c:v>
                </c:pt>
                <c:pt idx="2">
                  <c:v>86.235045058094585</c:v>
                </c:pt>
                <c:pt idx="3">
                  <c:v>69.828387023846659</c:v>
                </c:pt>
                <c:pt idx="4">
                  <c:v>72.255272012035377</c:v>
                </c:pt>
                <c:pt idx="5">
                  <c:v>78.038103519236117</c:v>
                </c:pt>
              </c:numCache>
            </c:numRef>
          </c:val>
          <c:extLst>
            <c:ext xmlns:c16="http://schemas.microsoft.com/office/drawing/2014/chart" uri="{C3380CC4-5D6E-409C-BE32-E72D297353CC}">
              <c16:uniqueId val="{00000001-23BE-4F72-BC67-AD014620B89D}"/>
            </c:ext>
          </c:extLst>
        </c:ser>
        <c:ser>
          <c:idx val="2"/>
          <c:order val="2"/>
          <c:tx>
            <c:strRef>
              <c:f>Sheet1!$D$1</c:f>
              <c:strCache>
                <c:ptCount val="1"/>
                <c:pt idx="0">
                  <c:v>รวม</c:v>
                </c:pt>
              </c:strCache>
            </c:strRef>
          </c:tx>
          <c:invertIfNegative val="0"/>
          <c:cat>
            <c:strRef>
              <c:f>Sheet1!$A$2:$A$7</c:f>
              <c:strCache>
                <c:ptCount val="6"/>
                <c:pt idx="0">
                  <c:v>งบบุคลากร</c:v>
                </c:pt>
                <c:pt idx="1">
                  <c:v>งบดำเนินเงิน</c:v>
                </c:pt>
                <c:pt idx="2">
                  <c:v>งบลงทุน</c:v>
                </c:pt>
                <c:pt idx="3">
                  <c:v>งบอุดหนุน</c:v>
                </c:pt>
                <c:pt idx="4">
                  <c:v>งบรายจ่ายอื่น</c:v>
                </c:pt>
                <c:pt idx="5">
                  <c:v>รวม</c:v>
                </c:pt>
              </c:strCache>
            </c:strRef>
          </c:cat>
          <c:val>
            <c:numRef>
              <c:f>Sheet1!$D$2:$D$7</c:f>
              <c:numCache>
                <c:formatCode>#,##0.00</c:formatCode>
                <c:ptCount val="6"/>
                <c:pt idx="0">
                  <c:v>100</c:v>
                </c:pt>
                <c:pt idx="1">
                  <c:v>88.347933139017528</c:v>
                </c:pt>
                <c:pt idx="2">
                  <c:v>75.531851149597543</c:v>
                </c:pt>
                <c:pt idx="3">
                  <c:v>95.186335717081533</c:v>
                </c:pt>
                <c:pt idx="4">
                  <c:v>96.028636752836832</c:v>
                </c:pt>
                <c:pt idx="5">
                  <c:v>90.046469857753294</c:v>
                </c:pt>
              </c:numCache>
            </c:numRef>
          </c:val>
          <c:extLst>
            <c:ext xmlns:c16="http://schemas.microsoft.com/office/drawing/2014/chart" uri="{C3380CC4-5D6E-409C-BE32-E72D297353CC}">
              <c16:uniqueId val="{00000002-23BE-4F72-BC67-AD014620B89D}"/>
            </c:ext>
          </c:extLst>
        </c:ser>
        <c:dLbls>
          <c:showLegendKey val="0"/>
          <c:showVal val="0"/>
          <c:showCatName val="0"/>
          <c:showSerName val="0"/>
          <c:showPercent val="0"/>
          <c:showBubbleSize val="0"/>
        </c:dLbls>
        <c:gapWidth val="150"/>
        <c:shape val="box"/>
        <c:axId val="139691520"/>
        <c:axId val="139693056"/>
        <c:axId val="0"/>
      </c:bar3DChart>
      <c:catAx>
        <c:axId val="139691520"/>
        <c:scaling>
          <c:orientation val="minMax"/>
        </c:scaling>
        <c:delete val="0"/>
        <c:axPos val="b"/>
        <c:numFmt formatCode="General" sourceLinked="0"/>
        <c:majorTickMark val="out"/>
        <c:minorTickMark val="none"/>
        <c:tickLblPos val="nextTo"/>
        <c:crossAx val="139693056"/>
        <c:crosses val="autoZero"/>
        <c:auto val="1"/>
        <c:lblAlgn val="ctr"/>
        <c:lblOffset val="100"/>
        <c:noMultiLvlLbl val="0"/>
      </c:catAx>
      <c:valAx>
        <c:axId val="139693056"/>
        <c:scaling>
          <c:orientation val="minMax"/>
        </c:scaling>
        <c:delete val="0"/>
        <c:axPos val="l"/>
        <c:majorGridlines/>
        <c:numFmt formatCode="#,##0.00" sourceLinked="1"/>
        <c:majorTickMark val="out"/>
        <c:minorTickMark val="none"/>
        <c:tickLblPos val="nextTo"/>
        <c:crossAx val="139691520"/>
        <c:crosses val="autoZero"/>
        <c:crossBetween val="between"/>
      </c:valAx>
    </c:plotArea>
    <c:legend>
      <c:legendPos val="r"/>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595832</xdr:colOff>
      <xdr:row>1</xdr:row>
      <xdr:rowOff>352426</xdr:rowOff>
    </xdr:from>
    <xdr:to>
      <xdr:col>7</xdr:col>
      <xdr:colOff>589160</xdr:colOff>
      <xdr:row>6</xdr:row>
      <xdr:rowOff>152176</xdr:rowOff>
    </xdr:to>
    <xdr:pic>
      <xdr:nvPicPr>
        <xdr:cNvPr id="3" name="รูปภาพ 2" descr="Lpru.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24832" y="762001"/>
          <a:ext cx="1364928" cy="180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6</xdr:row>
      <xdr:rowOff>47625</xdr:rowOff>
    </xdr:from>
    <xdr:to>
      <xdr:col>8</xdr:col>
      <xdr:colOff>571500</xdr:colOff>
      <xdr:row>23</xdr:row>
      <xdr:rowOff>19050</xdr:rowOff>
    </xdr:to>
    <xdr:graphicFrame macro="">
      <xdr:nvGraphicFramePr>
        <xdr:cNvPr id="4" name="แผนภูมิ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8</xdr:row>
      <xdr:rowOff>85725</xdr:rowOff>
    </xdr:from>
    <xdr:to>
      <xdr:col>7</xdr:col>
      <xdr:colOff>114300</xdr:colOff>
      <xdr:row>23</xdr:row>
      <xdr:rowOff>114300</xdr:rowOff>
    </xdr:to>
    <xdr:graphicFrame macro="">
      <xdr:nvGraphicFramePr>
        <xdr:cNvPr id="5" name="แผนภูมิ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486835</xdr:colOff>
      <xdr:row>27</xdr:row>
      <xdr:rowOff>190493</xdr:rowOff>
    </xdr:from>
    <xdr:to>
      <xdr:col>11</xdr:col>
      <xdr:colOff>285751</xdr:colOff>
      <xdr:row>51</xdr:row>
      <xdr:rowOff>201080</xdr:rowOff>
    </xdr:to>
    <xdr:graphicFrame macro="">
      <xdr:nvGraphicFramePr>
        <xdr:cNvPr id="3" name="แผนภูมิ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105833</xdr:colOff>
      <xdr:row>23</xdr:row>
      <xdr:rowOff>84667</xdr:rowOff>
    </xdr:from>
    <xdr:to>
      <xdr:col>9</xdr:col>
      <xdr:colOff>328083</xdr:colOff>
      <xdr:row>40</xdr:row>
      <xdr:rowOff>0</xdr:rowOff>
    </xdr:to>
    <xdr:graphicFrame macro="">
      <xdr:nvGraphicFramePr>
        <xdr:cNvPr id="6" name="แผนภูมิ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28</xdr:row>
      <xdr:rowOff>57151</xdr:rowOff>
    </xdr:from>
    <xdr:to>
      <xdr:col>9</xdr:col>
      <xdr:colOff>609600</xdr:colOff>
      <xdr:row>49</xdr:row>
      <xdr:rowOff>180975</xdr:rowOff>
    </xdr:to>
    <xdr:graphicFrame macro="">
      <xdr:nvGraphicFramePr>
        <xdr:cNvPr id="3" name="แผนภูมิ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361950</xdr:colOff>
      <xdr:row>26</xdr:row>
      <xdr:rowOff>133351</xdr:rowOff>
    </xdr:from>
    <xdr:to>
      <xdr:col>6</xdr:col>
      <xdr:colOff>247650</xdr:colOff>
      <xdr:row>28</xdr:row>
      <xdr:rowOff>9526</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2238375" y="6324601"/>
          <a:ext cx="43910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100"/>
            <a:t>กราฟแสดงผลการเบิกจ่ายงบประมาณรวม จำแนกตามหน่วยงานและไตรมาส</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108</xdr:row>
      <xdr:rowOff>112350</xdr:rowOff>
    </xdr:from>
    <xdr:to>
      <xdr:col>6</xdr:col>
      <xdr:colOff>1039956</xdr:colOff>
      <xdr:row>127</xdr:row>
      <xdr:rowOff>205797</xdr:rowOff>
    </xdr:to>
    <xdr:graphicFrame macro="">
      <xdr:nvGraphicFramePr>
        <xdr:cNvPr id="2" name="แผนภูมิ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17319</xdr:colOff>
      <xdr:row>107</xdr:row>
      <xdr:rowOff>138545</xdr:rowOff>
    </xdr:from>
    <xdr:to>
      <xdr:col>5</xdr:col>
      <xdr:colOff>207819</xdr:colOff>
      <xdr:row>108</xdr:row>
      <xdr:rowOff>167121</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208069" y="24228136"/>
          <a:ext cx="4658591" cy="253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100"/>
            <a:t>กราฟแสดงผลการเบิกจ่ายงบประมาณรวม</a:t>
          </a:r>
          <a:r>
            <a:rPr lang="en-US" sz="1100"/>
            <a:t> </a:t>
          </a:r>
          <a:r>
            <a:rPr lang="th-TH" sz="1100"/>
            <a:t>เงินงบแผ่นดิน จำแนกตามหน่วยงาน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108</xdr:row>
      <xdr:rowOff>19052</xdr:rowOff>
    </xdr:from>
    <xdr:to>
      <xdr:col>6</xdr:col>
      <xdr:colOff>1178503</xdr:colOff>
      <xdr:row>127</xdr:row>
      <xdr:rowOff>200025</xdr:rowOff>
    </xdr:to>
    <xdr:graphicFrame macro="">
      <xdr:nvGraphicFramePr>
        <xdr:cNvPr id="2" name="แผนภูมิ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96982</xdr:colOff>
      <xdr:row>107</xdr:row>
      <xdr:rowOff>66675</xdr:rowOff>
    </xdr:from>
    <xdr:to>
      <xdr:col>4</xdr:col>
      <xdr:colOff>1108364</xdr:colOff>
      <xdr:row>108</xdr:row>
      <xdr:rowOff>81395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202007" y="25546050"/>
          <a:ext cx="4640407" cy="252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100"/>
            <a:t>กราฟแสดงผลการเบิกจ่ายงบประมาณรวม</a:t>
          </a:r>
          <a:r>
            <a:rPr lang="en-US" sz="1100"/>
            <a:t> </a:t>
          </a:r>
          <a:r>
            <a:rPr lang="th-TH" sz="1100"/>
            <a:t>เงินรายได้ จำแนกตามหน่วยงาน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12</xdr:col>
      <xdr:colOff>219076</xdr:colOff>
      <xdr:row>27</xdr:row>
      <xdr:rowOff>85726</xdr:rowOff>
    </xdr:to>
    <xdr:graphicFrame macro="">
      <xdr:nvGraphicFramePr>
        <xdr:cNvPr id="9" name="แผนภูมิ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1076325</xdr:colOff>
      <xdr:row>0</xdr:row>
      <xdr:rowOff>0</xdr:rowOff>
    </xdr:from>
    <xdr:to>
      <xdr:col>0</xdr:col>
      <xdr:colOff>1076325</xdr:colOff>
      <xdr:row>0</xdr:row>
      <xdr:rowOff>352425</xdr:rowOff>
    </xdr:to>
    <xdr:pic>
      <xdr:nvPicPr>
        <xdr:cNvPr id="51" name="รูปภาพ 50" descr="http://www.plan.lpru.ac.th/pod/isp/images/icon/coloricon/b1.png">
          <a:extLst>
            <a:ext uri="{FF2B5EF4-FFF2-40B4-BE49-F238E27FC236}">
              <a16:creationId xmlns:a16="http://schemas.microsoft.com/office/drawing/2014/main" id="{00000000-0008-0000-0D00-000033000000}"/>
            </a:ext>
          </a:extLst>
        </xdr:cNvPr>
        <xdr:cNvPicPr/>
      </xdr:nvPicPr>
      <xdr:blipFill>
        <a:blip xmlns:r="http://schemas.openxmlformats.org/officeDocument/2006/relationships" r:embed="rId1"/>
        <a:srcRect/>
        <a:stretch>
          <a:fillRect/>
        </a:stretch>
      </xdr:blipFill>
      <xdr:spPr bwMode="auto">
        <a:xfrm>
          <a:off x="1076325" y="23174325"/>
          <a:ext cx="428625" cy="352425"/>
        </a:xfrm>
        <a:prstGeom prst="rect">
          <a:avLst/>
        </a:prstGeom>
        <a:noFill/>
        <a:ln w="9525">
          <a:noFill/>
          <a:miter lim="800000"/>
          <a:headEnd/>
          <a:tailEnd/>
        </a:ln>
      </xdr:spPr>
    </xdr:pic>
    <xdr:clientData/>
  </xdr:twoCellAnchor>
  <xdr:twoCellAnchor editAs="oneCell">
    <xdr:from>
      <xdr:col>0</xdr:col>
      <xdr:colOff>2019300</xdr:colOff>
      <xdr:row>0</xdr:row>
      <xdr:rowOff>0</xdr:rowOff>
    </xdr:from>
    <xdr:to>
      <xdr:col>0</xdr:col>
      <xdr:colOff>2019300</xdr:colOff>
      <xdr:row>0</xdr:row>
      <xdr:rowOff>352425</xdr:rowOff>
    </xdr:to>
    <xdr:pic>
      <xdr:nvPicPr>
        <xdr:cNvPr id="52" name="รูปภาพ 51" descr="http://www.plan.lpru.ac.th/pod/isp/images/icon/coloricon/b2.png">
          <a:extLst>
            <a:ext uri="{FF2B5EF4-FFF2-40B4-BE49-F238E27FC236}">
              <a16:creationId xmlns:a16="http://schemas.microsoft.com/office/drawing/2014/main" id="{00000000-0008-0000-0D00-000034000000}"/>
            </a:ext>
          </a:extLst>
        </xdr:cNvPr>
        <xdr:cNvPicPr/>
      </xdr:nvPicPr>
      <xdr:blipFill>
        <a:blip xmlns:r="http://schemas.openxmlformats.org/officeDocument/2006/relationships" r:embed="rId2"/>
        <a:srcRect/>
        <a:stretch>
          <a:fillRect/>
        </a:stretch>
      </xdr:blipFill>
      <xdr:spPr bwMode="auto">
        <a:xfrm>
          <a:off x="2019300" y="23183850"/>
          <a:ext cx="428625" cy="352425"/>
        </a:xfrm>
        <a:prstGeom prst="rect">
          <a:avLst/>
        </a:prstGeom>
        <a:noFill/>
        <a:ln w="9525">
          <a:noFill/>
          <a:miter lim="800000"/>
          <a:headEnd/>
          <a:tailEnd/>
        </a:ln>
      </xdr:spPr>
    </xdr:pic>
    <xdr:clientData/>
  </xdr:twoCellAnchor>
  <xdr:twoCellAnchor editAs="oneCell">
    <xdr:from>
      <xdr:col>0</xdr:col>
      <xdr:colOff>3143250</xdr:colOff>
      <xdr:row>0</xdr:row>
      <xdr:rowOff>0</xdr:rowOff>
    </xdr:from>
    <xdr:to>
      <xdr:col>0</xdr:col>
      <xdr:colOff>3143250</xdr:colOff>
      <xdr:row>0</xdr:row>
      <xdr:rowOff>352425</xdr:rowOff>
    </xdr:to>
    <xdr:pic>
      <xdr:nvPicPr>
        <xdr:cNvPr id="53" name="รูปภาพ 52" descr="http://www.plan.lpru.ac.th/pod/isp/images/icon/coloricon/b3.png">
          <a:extLst>
            <a:ext uri="{FF2B5EF4-FFF2-40B4-BE49-F238E27FC236}">
              <a16:creationId xmlns:a16="http://schemas.microsoft.com/office/drawing/2014/main" id="{00000000-0008-0000-0D00-000035000000}"/>
            </a:ext>
          </a:extLst>
        </xdr:cNvPr>
        <xdr:cNvPicPr/>
      </xdr:nvPicPr>
      <xdr:blipFill>
        <a:blip xmlns:r="http://schemas.openxmlformats.org/officeDocument/2006/relationships" r:embed="rId3"/>
        <a:srcRect/>
        <a:stretch>
          <a:fillRect/>
        </a:stretch>
      </xdr:blipFill>
      <xdr:spPr bwMode="auto">
        <a:xfrm>
          <a:off x="3143250" y="23193375"/>
          <a:ext cx="428625" cy="352425"/>
        </a:xfrm>
        <a:prstGeom prst="rect">
          <a:avLst/>
        </a:prstGeom>
        <a:noFill/>
        <a:ln w="9525">
          <a:noFill/>
          <a:miter lim="800000"/>
          <a:headEnd/>
          <a:tailEnd/>
        </a:ln>
      </xdr:spPr>
    </xdr:pic>
    <xdr:clientData/>
  </xdr:twoCellAnchor>
  <xdr:twoCellAnchor editAs="oneCell">
    <xdr:from>
      <xdr:col>0</xdr:col>
      <xdr:colOff>4324350</xdr:colOff>
      <xdr:row>0</xdr:row>
      <xdr:rowOff>0</xdr:rowOff>
    </xdr:from>
    <xdr:to>
      <xdr:col>1</xdr:col>
      <xdr:colOff>6350</xdr:colOff>
      <xdr:row>0</xdr:row>
      <xdr:rowOff>352425</xdr:rowOff>
    </xdr:to>
    <xdr:pic>
      <xdr:nvPicPr>
        <xdr:cNvPr id="54" name="รูปภาพ 53" descr="http://www.plan.lpru.ac.th/pod/isp/images/icon/coloricon/b4.png">
          <a:extLst>
            <a:ext uri="{FF2B5EF4-FFF2-40B4-BE49-F238E27FC236}">
              <a16:creationId xmlns:a16="http://schemas.microsoft.com/office/drawing/2014/main" id="{00000000-0008-0000-0D00-000036000000}"/>
            </a:ext>
          </a:extLst>
        </xdr:cNvPr>
        <xdr:cNvPicPr/>
      </xdr:nvPicPr>
      <xdr:blipFill>
        <a:blip xmlns:r="http://schemas.openxmlformats.org/officeDocument/2006/relationships" r:embed="rId4"/>
        <a:srcRect/>
        <a:stretch>
          <a:fillRect/>
        </a:stretch>
      </xdr:blipFill>
      <xdr:spPr bwMode="auto">
        <a:xfrm>
          <a:off x="4324350" y="23183850"/>
          <a:ext cx="428625" cy="352425"/>
        </a:xfrm>
        <a:prstGeom prst="rect">
          <a:avLst/>
        </a:prstGeom>
        <a:noFill/>
        <a:ln w="9525">
          <a:noFill/>
          <a:miter lim="800000"/>
          <a:headEnd/>
          <a:tailEnd/>
        </a:ln>
      </xdr:spPr>
    </xdr:pic>
    <xdr:clientData/>
  </xdr:twoCellAnchor>
  <xdr:twoCellAnchor editAs="oneCell">
    <xdr:from>
      <xdr:col>0</xdr:col>
      <xdr:colOff>5438775</xdr:colOff>
      <xdr:row>0</xdr:row>
      <xdr:rowOff>0</xdr:rowOff>
    </xdr:from>
    <xdr:to>
      <xdr:col>1</xdr:col>
      <xdr:colOff>6350</xdr:colOff>
      <xdr:row>0</xdr:row>
      <xdr:rowOff>352425</xdr:rowOff>
    </xdr:to>
    <xdr:pic>
      <xdr:nvPicPr>
        <xdr:cNvPr id="55" name="รูปภาพ 54" descr="http://www.plan.lpru.ac.th/pod/isp/images/icon/coloricon/b5.png">
          <a:extLst>
            <a:ext uri="{FF2B5EF4-FFF2-40B4-BE49-F238E27FC236}">
              <a16:creationId xmlns:a16="http://schemas.microsoft.com/office/drawing/2014/main" id="{00000000-0008-0000-0D00-000037000000}"/>
            </a:ext>
          </a:extLst>
        </xdr:cNvPr>
        <xdr:cNvPicPr/>
      </xdr:nvPicPr>
      <xdr:blipFill>
        <a:blip xmlns:r="http://schemas.openxmlformats.org/officeDocument/2006/relationships" r:embed="rId5"/>
        <a:srcRect/>
        <a:stretch>
          <a:fillRect/>
        </a:stretch>
      </xdr:blipFill>
      <xdr:spPr bwMode="auto">
        <a:xfrm>
          <a:off x="5438775" y="23183850"/>
          <a:ext cx="428625" cy="352425"/>
        </a:xfrm>
        <a:prstGeom prst="rect">
          <a:avLst/>
        </a:prstGeom>
        <a:noFill/>
        <a:ln w="9525">
          <a:noFill/>
          <a:miter lim="800000"/>
          <a:headEnd/>
          <a:tailEnd/>
        </a:ln>
      </xdr:spPr>
    </xdr:pic>
    <xdr:clientData/>
  </xdr:twoCellAnchor>
  <xdr:twoCellAnchor>
    <xdr:from>
      <xdr:col>0</xdr:col>
      <xdr:colOff>5486400</xdr:colOff>
      <xdr:row>380</xdr:row>
      <xdr:rowOff>133350</xdr:rowOff>
    </xdr:from>
    <xdr:to>
      <xdr:col>0</xdr:col>
      <xdr:colOff>5915025</xdr:colOff>
      <xdr:row>382</xdr:row>
      <xdr:rowOff>123825</xdr:rowOff>
    </xdr:to>
    <xdr:pic>
      <xdr:nvPicPr>
        <xdr:cNvPr id="62" name="Picture 75" descr="http://www.plan.lpru.ac.th/pod/isp/images/icon/coloricon/b1.png">
          <a:extLst>
            <a:ext uri="{FF2B5EF4-FFF2-40B4-BE49-F238E27FC236}">
              <a16:creationId xmlns:a16="http://schemas.microsoft.com/office/drawing/2014/main" id="{00000000-0008-0000-0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486400" y="94764225"/>
          <a:ext cx="428625" cy="352425"/>
        </a:xfrm>
        <a:prstGeom prst="rect">
          <a:avLst/>
        </a:prstGeom>
        <a:noFill/>
      </xdr:spPr>
    </xdr:pic>
    <xdr:clientData/>
  </xdr:twoCellAnchor>
  <xdr:twoCellAnchor editAs="oneCell">
    <xdr:from>
      <xdr:col>5</xdr:col>
      <xdr:colOff>352425</xdr:colOff>
      <xdr:row>1</xdr:row>
      <xdr:rowOff>361950</xdr:rowOff>
    </xdr:from>
    <xdr:to>
      <xdr:col>5</xdr:col>
      <xdr:colOff>781050</xdr:colOff>
      <xdr:row>2</xdr:row>
      <xdr:rowOff>342900</xdr:rowOff>
    </xdr:to>
    <xdr:pic>
      <xdr:nvPicPr>
        <xdr:cNvPr id="15" name="รูปภาพ 14">
          <a:extLst>
            <a:ext uri="{FF2B5EF4-FFF2-40B4-BE49-F238E27FC236}">
              <a16:creationId xmlns:a16="http://schemas.microsoft.com/office/drawing/2014/main" id="{0C89394C-DDDD-4C3D-A424-D1BBAD9EC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9239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3</xdr:row>
      <xdr:rowOff>9525</xdr:rowOff>
    </xdr:from>
    <xdr:to>
      <xdr:col>5</xdr:col>
      <xdr:colOff>781050</xdr:colOff>
      <xdr:row>3</xdr:row>
      <xdr:rowOff>361950</xdr:rowOff>
    </xdr:to>
    <xdr:pic>
      <xdr:nvPicPr>
        <xdr:cNvPr id="16" name="รูปภาพ 15">
          <a:extLst>
            <a:ext uri="{FF2B5EF4-FFF2-40B4-BE49-F238E27FC236}">
              <a16:creationId xmlns:a16="http://schemas.microsoft.com/office/drawing/2014/main" id="{4665FAA8-0E8C-4C0B-B386-D262641D57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72375" y="13144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4</xdr:row>
      <xdr:rowOff>76200</xdr:rowOff>
    </xdr:from>
    <xdr:to>
      <xdr:col>5</xdr:col>
      <xdr:colOff>781050</xdr:colOff>
      <xdr:row>4</xdr:row>
      <xdr:rowOff>428625</xdr:rowOff>
    </xdr:to>
    <xdr:pic>
      <xdr:nvPicPr>
        <xdr:cNvPr id="17" name="รูปภาพ 16">
          <a:extLst>
            <a:ext uri="{FF2B5EF4-FFF2-40B4-BE49-F238E27FC236}">
              <a16:creationId xmlns:a16="http://schemas.microsoft.com/office/drawing/2014/main" id="{8DB69BA2-DF92-48A0-95EF-E4624859F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17526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5</xdr:row>
      <xdr:rowOff>57150</xdr:rowOff>
    </xdr:from>
    <xdr:to>
      <xdr:col>5</xdr:col>
      <xdr:colOff>781050</xdr:colOff>
      <xdr:row>5</xdr:row>
      <xdr:rowOff>409575</xdr:rowOff>
    </xdr:to>
    <xdr:pic>
      <xdr:nvPicPr>
        <xdr:cNvPr id="18" name="รูปภาพ 17">
          <a:extLst>
            <a:ext uri="{FF2B5EF4-FFF2-40B4-BE49-F238E27FC236}">
              <a16:creationId xmlns:a16="http://schemas.microsoft.com/office/drawing/2014/main" id="{CB5247DA-CC7D-4F8C-9CAC-1C1B4A22E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22193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6</xdr:row>
      <xdr:rowOff>19050</xdr:rowOff>
    </xdr:from>
    <xdr:to>
      <xdr:col>5</xdr:col>
      <xdr:colOff>790575</xdr:colOff>
      <xdr:row>7</xdr:row>
      <xdr:rowOff>0</xdr:rowOff>
    </xdr:to>
    <xdr:pic>
      <xdr:nvPicPr>
        <xdr:cNvPr id="19" name="รูปภาพ 18">
          <a:extLst>
            <a:ext uri="{FF2B5EF4-FFF2-40B4-BE49-F238E27FC236}">
              <a16:creationId xmlns:a16="http://schemas.microsoft.com/office/drawing/2014/main" id="{539DE3D7-77BF-411C-A988-D001A3C1D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26670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7</xdr:row>
      <xdr:rowOff>28575</xdr:rowOff>
    </xdr:from>
    <xdr:to>
      <xdr:col>5</xdr:col>
      <xdr:colOff>790575</xdr:colOff>
      <xdr:row>8</xdr:row>
      <xdr:rowOff>9525</xdr:rowOff>
    </xdr:to>
    <xdr:pic>
      <xdr:nvPicPr>
        <xdr:cNvPr id="20" name="รูปภาพ 19">
          <a:extLst>
            <a:ext uri="{FF2B5EF4-FFF2-40B4-BE49-F238E27FC236}">
              <a16:creationId xmlns:a16="http://schemas.microsoft.com/office/drawing/2014/main" id="{88B53DBA-201F-4A79-A3A8-ED86621E1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30480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8</xdr:row>
      <xdr:rowOff>47625</xdr:rowOff>
    </xdr:from>
    <xdr:to>
      <xdr:col>5</xdr:col>
      <xdr:colOff>790575</xdr:colOff>
      <xdr:row>8</xdr:row>
      <xdr:rowOff>400050</xdr:rowOff>
    </xdr:to>
    <xdr:pic>
      <xdr:nvPicPr>
        <xdr:cNvPr id="21" name="รูปภาพ 20">
          <a:extLst>
            <a:ext uri="{FF2B5EF4-FFF2-40B4-BE49-F238E27FC236}">
              <a16:creationId xmlns:a16="http://schemas.microsoft.com/office/drawing/2014/main" id="{3CB7281A-7561-446D-A2F0-80C1516FA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3438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9</xdr:row>
      <xdr:rowOff>9525</xdr:rowOff>
    </xdr:from>
    <xdr:to>
      <xdr:col>5</xdr:col>
      <xdr:colOff>790575</xdr:colOff>
      <xdr:row>9</xdr:row>
      <xdr:rowOff>361950</xdr:rowOff>
    </xdr:to>
    <xdr:pic>
      <xdr:nvPicPr>
        <xdr:cNvPr id="22" name="รูปภาพ 21">
          <a:extLst>
            <a:ext uri="{FF2B5EF4-FFF2-40B4-BE49-F238E27FC236}">
              <a16:creationId xmlns:a16="http://schemas.microsoft.com/office/drawing/2014/main" id="{CBB3346E-BB4A-4CBE-B06B-FAA161624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37719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10</xdr:row>
      <xdr:rowOff>19050</xdr:rowOff>
    </xdr:from>
    <xdr:to>
      <xdr:col>5</xdr:col>
      <xdr:colOff>790575</xdr:colOff>
      <xdr:row>11</xdr:row>
      <xdr:rowOff>0</xdr:rowOff>
    </xdr:to>
    <xdr:pic>
      <xdr:nvPicPr>
        <xdr:cNvPr id="23" name="รูปภาพ 22">
          <a:extLst>
            <a:ext uri="{FF2B5EF4-FFF2-40B4-BE49-F238E27FC236}">
              <a16:creationId xmlns:a16="http://schemas.microsoft.com/office/drawing/2014/main" id="{5208D93C-5477-45C3-A687-30592286C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41529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11</xdr:row>
      <xdr:rowOff>9525</xdr:rowOff>
    </xdr:from>
    <xdr:to>
      <xdr:col>5</xdr:col>
      <xdr:colOff>790575</xdr:colOff>
      <xdr:row>11</xdr:row>
      <xdr:rowOff>361950</xdr:rowOff>
    </xdr:to>
    <xdr:pic>
      <xdr:nvPicPr>
        <xdr:cNvPr id="24" name="รูปภาพ 23">
          <a:extLst>
            <a:ext uri="{FF2B5EF4-FFF2-40B4-BE49-F238E27FC236}">
              <a16:creationId xmlns:a16="http://schemas.microsoft.com/office/drawing/2014/main" id="{65CCB2CE-F858-471E-AA1E-894B0C3E6C2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81900" y="45148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12</xdr:row>
      <xdr:rowOff>38100</xdr:rowOff>
    </xdr:from>
    <xdr:to>
      <xdr:col>5</xdr:col>
      <xdr:colOff>790575</xdr:colOff>
      <xdr:row>12</xdr:row>
      <xdr:rowOff>390525</xdr:rowOff>
    </xdr:to>
    <xdr:pic>
      <xdr:nvPicPr>
        <xdr:cNvPr id="25" name="รูปภาพ 24">
          <a:extLst>
            <a:ext uri="{FF2B5EF4-FFF2-40B4-BE49-F238E27FC236}">
              <a16:creationId xmlns:a16="http://schemas.microsoft.com/office/drawing/2014/main" id="{73E9481F-232E-45F3-BB3A-D485D1156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51435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13</xdr:row>
      <xdr:rowOff>9525</xdr:rowOff>
    </xdr:from>
    <xdr:to>
      <xdr:col>5</xdr:col>
      <xdr:colOff>790575</xdr:colOff>
      <xdr:row>13</xdr:row>
      <xdr:rowOff>361950</xdr:rowOff>
    </xdr:to>
    <xdr:pic>
      <xdr:nvPicPr>
        <xdr:cNvPr id="26" name="รูปภาพ 25">
          <a:extLst>
            <a:ext uri="{FF2B5EF4-FFF2-40B4-BE49-F238E27FC236}">
              <a16:creationId xmlns:a16="http://schemas.microsoft.com/office/drawing/2014/main" id="{3FDFDFC8-28DB-49AE-90DF-8AEA897B0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56007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13</xdr:row>
      <xdr:rowOff>361950</xdr:rowOff>
    </xdr:from>
    <xdr:to>
      <xdr:col>5</xdr:col>
      <xdr:colOff>790575</xdr:colOff>
      <xdr:row>14</xdr:row>
      <xdr:rowOff>342900</xdr:rowOff>
    </xdr:to>
    <xdr:pic>
      <xdr:nvPicPr>
        <xdr:cNvPr id="27" name="รูปภาพ 26">
          <a:extLst>
            <a:ext uri="{FF2B5EF4-FFF2-40B4-BE49-F238E27FC236}">
              <a16:creationId xmlns:a16="http://schemas.microsoft.com/office/drawing/2014/main" id="{8468AD75-0C70-4187-A4AC-3BB425107B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81900" y="5953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15</xdr:row>
      <xdr:rowOff>19050</xdr:rowOff>
    </xdr:from>
    <xdr:to>
      <xdr:col>5</xdr:col>
      <xdr:colOff>790575</xdr:colOff>
      <xdr:row>15</xdr:row>
      <xdr:rowOff>371475</xdr:rowOff>
    </xdr:to>
    <xdr:pic>
      <xdr:nvPicPr>
        <xdr:cNvPr id="28" name="รูปภาพ 27">
          <a:extLst>
            <a:ext uri="{FF2B5EF4-FFF2-40B4-BE49-F238E27FC236}">
              <a16:creationId xmlns:a16="http://schemas.microsoft.com/office/drawing/2014/main" id="{8D2B1425-D4E5-42EB-80F0-1DAA11CCA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6353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16</xdr:row>
      <xdr:rowOff>47625</xdr:rowOff>
    </xdr:from>
    <xdr:to>
      <xdr:col>5</xdr:col>
      <xdr:colOff>790575</xdr:colOff>
      <xdr:row>16</xdr:row>
      <xdr:rowOff>400050</xdr:rowOff>
    </xdr:to>
    <xdr:pic>
      <xdr:nvPicPr>
        <xdr:cNvPr id="29" name="รูปภาพ 28">
          <a:extLst>
            <a:ext uri="{FF2B5EF4-FFF2-40B4-BE49-F238E27FC236}">
              <a16:creationId xmlns:a16="http://schemas.microsoft.com/office/drawing/2014/main" id="{1DFAB455-4ECD-4651-81DD-748C032C92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81900" y="6867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17</xdr:row>
      <xdr:rowOff>28575</xdr:rowOff>
    </xdr:from>
    <xdr:to>
      <xdr:col>5</xdr:col>
      <xdr:colOff>809625</xdr:colOff>
      <xdr:row>17</xdr:row>
      <xdr:rowOff>381000</xdr:rowOff>
    </xdr:to>
    <xdr:pic>
      <xdr:nvPicPr>
        <xdr:cNvPr id="30" name="รูปภาพ 29">
          <a:extLst>
            <a:ext uri="{FF2B5EF4-FFF2-40B4-BE49-F238E27FC236}">
              <a16:creationId xmlns:a16="http://schemas.microsoft.com/office/drawing/2014/main" id="{CEBC22DD-DA2A-4FAF-8476-CC903A5D56F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00950" y="73342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390525</xdr:colOff>
      <xdr:row>18</xdr:row>
      <xdr:rowOff>9525</xdr:rowOff>
    </xdr:from>
    <xdr:to>
      <xdr:col>5</xdr:col>
      <xdr:colOff>819150</xdr:colOff>
      <xdr:row>18</xdr:row>
      <xdr:rowOff>361950</xdr:rowOff>
    </xdr:to>
    <xdr:pic>
      <xdr:nvPicPr>
        <xdr:cNvPr id="31" name="รูปภาพ 30">
          <a:extLst>
            <a:ext uri="{FF2B5EF4-FFF2-40B4-BE49-F238E27FC236}">
              <a16:creationId xmlns:a16="http://schemas.microsoft.com/office/drawing/2014/main" id="{C9B22FD8-19AD-4525-9F8B-61DD20D74AF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10475" y="78009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19</xdr:row>
      <xdr:rowOff>28575</xdr:rowOff>
    </xdr:from>
    <xdr:to>
      <xdr:col>5</xdr:col>
      <xdr:colOff>809625</xdr:colOff>
      <xdr:row>20</xdr:row>
      <xdr:rowOff>9525</xdr:rowOff>
    </xdr:to>
    <xdr:pic>
      <xdr:nvPicPr>
        <xdr:cNvPr id="32" name="รูปภาพ 31">
          <a:extLst>
            <a:ext uri="{FF2B5EF4-FFF2-40B4-BE49-F238E27FC236}">
              <a16:creationId xmlns:a16="http://schemas.microsoft.com/office/drawing/2014/main" id="{F56DCB92-177D-430F-B0CE-C8E2D2D0FC7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00950" y="81915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20</xdr:row>
      <xdr:rowOff>38100</xdr:rowOff>
    </xdr:from>
    <xdr:to>
      <xdr:col>5</xdr:col>
      <xdr:colOff>800100</xdr:colOff>
      <xdr:row>21</xdr:row>
      <xdr:rowOff>9525</xdr:rowOff>
    </xdr:to>
    <xdr:pic>
      <xdr:nvPicPr>
        <xdr:cNvPr id="33" name="รูปภาพ 32">
          <a:extLst>
            <a:ext uri="{FF2B5EF4-FFF2-40B4-BE49-F238E27FC236}">
              <a16:creationId xmlns:a16="http://schemas.microsoft.com/office/drawing/2014/main" id="{01614FC7-02E1-472A-A07A-18725D795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85725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22</xdr:row>
      <xdr:rowOff>0</xdr:rowOff>
    </xdr:from>
    <xdr:to>
      <xdr:col>5</xdr:col>
      <xdr:colOff>800100</xdr:colOff>
      <xdr:row>22</xdr:row>
      <xdr:rowOff>352425</xdr:rowOff>
    </xdr:to>
    <xdr:pic>
      <xdr:nvPicPr>
        <xdr:cNvPr id="35" name="รูปภาพ 34">
          <a:extLst>
            <a:ext uri="{FF2B5EF4-FFF2-40B4-BE49-F238E27FC236}">
              <a16:creationId xmlns:a16="http://schemas.microsoft.com/office/drawing/2014/main" id="{58D808DF-385B-4FED-B308-7DA2D19B9C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5" y="92868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23</xdr:row>
      <xdr:rowOff>0</xdr:rowOff>
    </xdr:from>
    <xdr:to>
      <xdr:col>5</xdr:col>
      <xdr:colOff>800100</xdr:colOff>
      <xdr:row>23</xdr:row>
      <xdr:rowOff>352425</xdr:rowOff>
    </xdr:to>
    <xdr:pic>
      <xdr:nvPicPr>
        <xdr:cNvPr id="38" name="รูปภาพ 37">
          <a:extLst>
            <a:ext uri="{FF2B5EF4-FFF2-40B4-BE49-F238E27FC236}">
              <a16:creationId xmlns:a16="http://schemas.microsoft.com/office/drawing/2014/main" id="{0B9E45EA-1247-42C6-9F42-C47D982CA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96583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24</xdr:row>
      <xdr:rowOff>0</xdr:rowOff>
    </xdr:from>
    <xdr:to>
      <xdr:col>5</xdr:col>
      <xdr:colOff>800100</xdr:colOff>
      <xdr:row>24</xdr:row>
      <xdr:rowOff>352425</xdr:rowOff>
    </xdr:to>
    <xdr:pic>
      <xdr:nvPicPr>
        <xdr:cNvPr id="39" name="รูปภาพ 38">
          <a:extLst>
            <a:ext uri="{FF2B5EF4-FFF2-40B4-BE49-F238E27FC236}">
              <a16:creationId xmlns:a16="http://schemas.microsoft.com/office/drawing/2014/main" id="{41A47B27-ED04-4F1D-9202-C2EBBE1BD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00298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26</xdr:row>
      <xdr:rowOff>19050</xdr:rowOff>
    </xdr:from>
    <xdr:to>
      <xdr:col>5</xdr:col>
      <xdr:colOff>800100</xdr:colOff>
      <xdr:row>26</xdr:row>
      <xdr:rowOff>371475</xdr:rowOff>
    </xdr:to>
    <xdr:pic>
      <xdr:nvPicPr>
        <xdr:cNvPr id="40" name="รูปภาพ 39">
          <a:extLst>
            <a:ext uri="{FF2B5EF4-FFF2-40B4-BE49-F238E27FC236}">
              <a16:creationId xmlns:a16="http://schemas.microsoft.com/office/drawing/2014/main" id="{D275A073-B52B-4865-A647-BE90074A5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107918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27</xdr:row>
      <xdr:rowOff>0</xdr:rowOff>
    </xdr:from>
    <xdr:to>
      <xdr:col>5</xdr:col>
      <xdr:colOff>809625</xdr:colOff>
      <xdr:row>27</xdr:row>
      <xdr:rowOff>352425</xdr:rowOff>
    </xdr:to>
    <xdr:pic>
      <xdr:nvPicPr>
        <xdr:cNvPr id="41" name="รูปภาพ 40">
          <a:extLst>
            <a:ext uri="{FF2B5EF4-FFF2-40B4-BE49-F238E27FC236}">
              <a16:creationId xmlns:a16="http://schemas.microsoft.com/office/drawing/2014/main" id="{3EC71474-5902-45D1-82D4-D42D42159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11442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28</xdr:row>
      <xdr:rowOff>9525</xdr:rowOff>
    </xdr:from>
    <xdr:to>
      <xdr:col>5</xdr:col>
      <xdr:colOff>809625</xdr:colOff>
      <xdr:row>28</xdr:row>
      <xdr:rowOff>361950</xdr:rowOff>
    </xdr:to>
    <xdr:pic>
      <xdr:nvPicPr>
        <xdr:cNvPr id="42" name="รูปภาพ 41">
          <a:extLst>
            <a:ext uri="{FF2B5EF4-FFF2-40B4-BE49-F238E27FC236}">
              <a16:creationId xmlns:a16="http://schemas.microsoft.com/office/drawing/2014/main" id="{E24A8AF7-1B2C-4044-B4B8-BD444D1B9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15252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333375</xdr:colOff>
      <xdr:row>33</xdr:row>
      <xdr:rowOff>0</xdr:rowOff>
    </xdr:from>
    <xdr:to>
      <xdr:col>5</xdr:col>
      <xdr:colOff>762000</xdr:colOff>
      <xdr:row>33</xdr:row>
      <xdr:rowOff>352425</xdr:rowOff>
    </xdr:to>
    <xdr:pic>
      <xdr:nvPicPr>
        <xdr:cNvPr id="44" name="รูปภาพ 43">
          <a:extLst>
            <a:ext uri="{FF2B5EF4-FFF2-40B4-BE49-F238E27FC236}">
              <a16:creationId xmlns:a16="http://schemas.microsoft.com/office/drawing/2014/main" id="{81A640E8-4582-4884-9D9B-F2AFC87DE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41732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34</xdr:row>
      <xdr:rowOff>38100</xdr:rowOff>
    </xdr:from>
    <xdr:to>
      <xdr:col>5</xdr:col>
      <xdr:colOff>771525</xdr:colOff>
      <xdr:row>34</xdr:row>
      <xdr:rowOff>390525</xdr:rowOff>
    </xdr:to>
    <xdr:pic>
      <xdr:nvPicPr>
        <xdr:cNvPr id="45" name="รูปภาพ 44">
          <a:extLst>
            <a:ext uri="{FF2B5EF4-FFF2-40B4-BE49-F238E27FC236}">
              <a16:creationId xmlns:a16="http://schemas.microsoft.com/office/drawing/2014/main" id="{502A5F9B-62DA-42D2-A702-71DEC15B5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145827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35</xdr:row>
      <xdr:rowOff>9525</xdr:rowOff>
    </xdr:from>
    <xdr:to>
      <xdr:col>5</xdr:col>
      <xdr:colOff>781050</xdr:colOff>
      <xdr:row>35</xdr:row>
      <xdr:rowOff>361950</xdr:rowOff>
    </xdr:to>
    <xdr:pic>
      <xdr:nvPicPr>
        <xdr:cNvPr id="46" name="รูปภาพ 45">
          <a:extLst>
            <a:ext uri="{FF2B5EF4-FFF2-40B4-BE49-F238E27FC236}">
              <a16:creationId xmlns:a16="http://schemas.microsoft.com/office/drawing/2014/main" id="{99712251-5D65-4529-9FFF-06C9723D8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150399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36</xdr:row>
      <xdr:rowOff>19050</xdr:rowOff>
    </xdr:from>
    <xdr:to>
      <xdr:col>5</xdr:col>
      <xdr:colOff>771525</xdr:colOff>
      <xdr:row>37</xdr:row>
      <xdr:rowOff>0</xdr:rowOff>
    </xdr:to>
    <xdr:pic>
      <xdr:nvPicPr>
        <xdr:cNvPr id="47" name="รูปภาพ 46">
          <a:extLst>
            <a:ext uri="{FF2B5EF4-FFF2-40B4-BE49-F238E27FC236}">
              <a16:creationId xmlns:a16="http://schemas.microsoft.com/office/drawing/2014/main" id="{563DC88E-1B7C-4081-9F58-DCB7F985E36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62850" y="154209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37</xdr:row>
      <xdr:rowOff>47625</xdr:rowOff>
    </xdr:from>
    <xdr:to>
      <xdr:col>5</xdr:col>
      <xdr:colOff>771525</xdr:colOff>
      <xdr:row>37</xdr:row>
      <xdr:rowOff>400050</xdr:rowOff>
    </xdr:to>
    <xdr:pic>
      <xdr:nvPicPr>
        <xdr:cNvPr id="48" name="รูปภาพ 47">
          <a:extLst>
            <a:ext uri="{FF2B5EF4-FFF2-40B4-BE49-F238E27FC236}">
              <a16:creationId xmlns:a16="http://schemas.microsoft.com/office/drawing/2014/main" id="{B571510D-DC15-4A15-A95E-9C06011F6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158210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40</xdr:row>
      <xdr:rowOff>9525</xdr:rowOff>
    </xdr:from>
    <xdr:to>
      <xdr:col>5</xdr:col>
      <xdr:colOff>771525</xdr:colOff>
      <xdr:row>40</xdr:row>
      <xdr:rowOff>361950</xdr:rowOff>
    </xdr:to>
    <xdr:pic>
      <xdr:nvPicPr>
        <xdr:cNvPr id="50" name="รูปภาพ 49">
          <a:extLst>
            <a:ext uri="{FF2B5EF4-FFF2-40B4-BE49-F238E27FC236}">
              <a16:creationId xmlns:a16="http://schemas.microsoft.com/office/drawing/2014/main" id="{41F8F35E-8619-4D66-B60B-2D47A4FBB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17011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333375</xdr:colOff>
      <xdr:row>41</xdr:row>
      <xdr:rowOff>9525</xdr:rowOff>
    </xdr:from>
    <xdr:to>
      <xdr:col>5</xdr:col>
      <xdr:colOff>762000</xdr:colOff>
      <xdr:row>42</xdr:row>
      <xdr:rowOff>0</xdr:rowOff>
    </xdr:to>
    <xdr:pic>
      <xdr:nvPicPr>
        <xdr:cNvPr id="56" name="รูปภาพ 55">
          <a:extLst>
            <a:ext uri="{FF2B5EF4-FFF2-40B4-BE49-F238E27FC236}">
              <a16:creationId xmlns:a16="http://schemas.microsoft.com/office/drawing/2014/main" id="{01078B20-606A-4B57-AC87-95C0B54B8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7383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42</xdr:row>
      <xdr:rowOff>85725</xdr:rowOff>
    </xdr:from>
    <xdr:to>
      <xdr:col>5</xdr:col>
      <xdr:colOff>771525</xdr:colOff>
      <xdr:row>42</xdr:row>
      <xdr:rowOff>438150</xdr:rowOff>
    </xdr:to>
    <xdr:pic>
      <xdr:nvPicPr>
        <xdr:cNvPr id="57" name="รูปภาพ 56">
          <a:extLst>
            <a:ext uri="{FF2B5EF4-FFF2-40B4-BE49-F238E27FC236}">
              <a16:creationId xmlns:a16="http://schemas.microsoft.com/office/drawing/2014/main" id="{6018410A-F572-4779-8A1A-91207FEE03D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62850" y="179355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43</xdr:row>
      <xdr:rowOff>9525</xdr:rowOff>
    </xdr:from>
    <xdr:to>
      <xdr:col>5</xdr:col>
      <xdr:colOff>771525</xdr:colOff>
      <xdr:row>43</xdr:row>
      <xdr:rowOff>361950</xdr:rowOff>
    </xdr:to>
    <xdr:pic>
      <xdr:nvPicPr>
        <xdr:cNvPr id="58" name="รูปภาพ 57">
          <a:extLst>
            <a:ext uri="{FF2B5EF4-FFF2-40B4-BE49-F238E27FC236}">
              <a16:creationId xmlns:a16="http://schemas.microsoft.com/office/drawing/2014/main" id="{C059BA2F-1A5C-4AB7-A184-6B6FC8337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183451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333375</xdr:colOff>
      <xdr:row>44</xdr:row>
      <xdr:rowOff>9525</xdr:rowOff>
    </xdr:from>
    <xdr:to>
      <xdr:col>5</xdr:col>
      <xdr:colOff>762000</xdr:colOff>
      <xdr:row>44</xdr:row>
      <xdr:rowOff>361950</xdr:rowOff>
    </xdr:to>
    <xdr:pic>
      <xdr:nvPicPr>
        <xdr:cNvPr id="59" name="รูปภาพ 58">
          <a:extLst>
            <a:ext uri="{FF2B5EF4-FFF2-40B4-BE49-F238E27FC236}">
              <a16:creationId xmlns:a16="http://schemas.microsoft.com/office/drawing/2014/main" id="{CA1A89E1-1102-45E8-8E98-E427D40B5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88309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47</xdr:row>
      <xdr:rowOff>0</xdr:rowOff>
    </xdr:from>
    <xdr:to>
      <xdr:col>5</xdr:col>
      <xdr:colOff>790575</xdr:colOff>
      <xdr:row>47</xdr:row>
      <xdr:rowOff>352425</xdr:rowOff>
    </xdr:to>
    <xdr:pic>
      <xdr:nvPicPr>
        <xdr:cNvPr id="61" name="รูปภาพ 60">
          <a:extLst>
            <a:ext uri="{FF2B5EF4-FFF2-40B4-BE49-F238E27FC236}">
              <a16:creationId xmlns:a16="http://schemas.microsoft.com/office/drawing/2014/main" id="{29D23F25-FABD-4F70-BCFD-E09EE18DA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20050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48</xdr:row>
      <xdr:rowOff>19050</xdr:rowOff>
    </xdr:from>
    <xdr:to>
      <xdr:col>5</xdr:col>
      <xdr:colOff>790575</xdr:colOff>
      <xdr:row>49</xdr:row>
      <xdr:rowOff>0</xdr:rowOff>
    </xdr:to>
    <xdr:pic>
      <xdr:nvPicPr>
        <xdr:cNvPr id="63" name="รูปภาพ 62">
          <a:extLst>
            <a:ext uri="{FF2B5EF4-FFF2-40B4-BE49-F238E27FC236}">
              <a16:creationId xmlns:a16="http://schemas.microsoft.com/office/drawing/2014/main" id="{14D92A99-216E-4C1A-BC71-BBA22965D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20440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361950</xdr:colOff>
      <xdr:row>49</xdr:row>
      <xdr:rowOff>9525</xdr:rowOff>
    </xdr:from>
    <xdr:to>
      <xdr:col>5</xdr:col>
      <xdr:colOff>790575</xdr:colOff>
      <xdr:row>49</xdr:row>
      <xdr:rowOff>361950</xdr:rowOff>
    </xdr:to>
    <xdr:pic>
      <xdr:nvPicPr>
        <xdr:cNvPr id="64" name="รูปภาพ 63">
          <a:extLst>
            <a:ext uri="{FF2B5EF4-FFF2-40B4-BE49-F238E27FC236}">
              <a16:creationId xmlns:a16="http://schemas.microsoft.com/office/drawing/2014/main" id="{7C956AB6-0357-474A-844F-140A091F74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81900" y="208026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51</xdr:row>
      <xdr:rowOff>76200</xdr:rowOff>
    </xdr:from>
    <xdr:to>
      <xdr:col>5</xdr:col>
      <xdr:colOff>781050</xdr:colOff>
      <xdr:row>51</xdr:row>
      <xdr:rowOff>428625</xdr:rowOff>
    </xdr:to>
    <xdr:pic>
      <xdr:nvPicPr>
        <xdr:cNvPr id="66" name="รูปภาพ 65">
          <a:extLst>
            <a:ext uri="{FF2B5EF4-FFF2-40B4-BE49-F238E27FC236}">
              <a16:creationId xmlns:a16="http://schemas.microsoft.com/office/drawing/2014/main" id="{86791284-428C-43FB-ADA0-3FAF62ECF48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72375" y="216122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52</xdr:row>
      <xdr:rowOff>66675</xdr:rowOff>
    </xdr:from>
    <xdr:to>
      <xdr:col>5</xdr:col>
      <xdr:colOff>771525</xdr:colOff>
      <xdr:row>52</xdr:row>
      <xdr:rowOff>419100</xdr:rowOff>
    </xdr:to>
    <xdr:pic>
      <xdr:nvPicPr>
        <xdr:cNvPr id="67" name="รูปภาพ 66">
          <a:extLst>
            <a:ext uri="{FF2B5EF4-FFF2-40B4-BE49-F238E27FC236}">
              <a16:creationId xmlns:a16="http://schemas.microsoft.com/office/drawing/2014/main" id="{29E9E383-10DE-4693-AAA1-A01606EA3F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62850" y="220884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53</xdr:row>
      <xdr:rowOff>76200</xdr:rowOff>
    </xdr:from>
    <xdr:to>
      <xdr:col>5</xdr:col>
      <xdr:colOff>771525</xdr:colOff>
      <xdr:row>53</xdr:row>
      <xdr:rowOff>428625</xdr:rowOff>
    </xdr:to>
    <xdr:pic>
      <xdr:nvPicPr>
        <xdr:cNvPr id="68" name="รูปภาพ 67">
          <a:extLst>
            <a:ext uri="{FF2B5EF4-FFF2-40B4-BE49-F238E27FC236}">
              <a16:creationId xmlns:a16="http://schemas.microsoft.com/office/drawing/2014/main" id="{4F006FB1-B082-4545-B1CF-07C27A02B6B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62850" y="225837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54</xdr:row>
      <xdr:rowOff>28575</xdr:rowOff>
    </xdr:from>
    <xdr:to>
      <xdr:col>5</xdr:col>
      <xdr:colOff>771525</xdr:colOff>
      <xdr:row>54</xdr:row>
      <xdr:rowOff>381000</xdr:rowOff>
    </xdr:to>
    <xdr:pic>
      <xdr:nvPicPr>
        <xdr:cNvPr id="69" name="รูปภาพ 68">
          <a:extLst>
            <a:ext uri="{FF2B5EF4-FFF2-40B4-BE49-F238E27FC236}">
              <a16:creationId xmlns:a16="http://schemas.microsoft.com/office/drawing/2014/main" id="{7F46E13C-B53D-44EE-AD04-DC1B1EE9FD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62850" y="230219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55</xdr:row>
      <xdr:rowOff>66675</xdr:rowOff>
    </xdr:from>
    <xdr:to>
      <xdr:col>5</xdr:col>
      <xdr:colOff>771525</xdr:colOff>
      <xdr:row>55</xdr:row>
      <xdr:rowOff>419100</xdr:rowOff>
    </xdr:to>
    <xdr:pic>
      <xdr:nvPicPr>
        <xdr:cNvPr id="70" name="รูปภาพ 69">
          <a:extLst>
            <a:ext uri="{FF2B5EF4-FFF2-40B4-BE49-F238E27FC236}">
              <a16:creationId xmlns:a16="http://schemas.microsoft.com/office/drawing/2014/main" id="{E9214DF5-3F56-4FB2-A28C-7B5CF8CDC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235458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333375</xdr:colOff>
      <xdr:row>56</xdr:row>
      <xdr:rowOff>9525</xdr:rowOff>
    </xdr:from>
    <xdr:to>
      <xdr:col>5</xdr:col>
      <xdr:colOff>762000</xdr:colOff>
      <xdr:row>56</xdr:row>
      <xdr:rowOff>361950</xdr:rowOff>
    </xdr:to>
    <xdr:pic>
      <xdr:nvPicPr>
        <xdr:cNvPr id="71" name="รูปภาพ 70">
          <a:extLst>
            <a:ext uri="{FF2B5EF4-FFF2-40B4-BE49-F238E27FC236}">
              <a16:creationId xmlns:a16="http://schemas.microsoft.com/office/drawing/2014/main" id="{AEF84363-9B95-4558-8BEA-CF47EB09B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239744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323850</xdr:colOff>
      <xdr:row>57</xdr:row>
      <xdr:rowOff>47625</xdr:rowOff>
    </xdr:from>
    <xdr:to>
      <xdr:col>5</xdr:col>
      <xdr:colOff>752475</xdr:colOff>
      <xdr:row>57</xdr:row>
      <xdr:rowOff>400050</xdr:rowOff>
    </xdr:to>
    <xdr:pic>
      <xdr:nvPicPr>
        <xdr:cNvPr id="72" name="รูปภาพ 71">
          <a:extLst>
            <a:ext uri="{FF2B5EF4-FFF2-40B4-BE49-F238E27FC236}">
              <a16:creationId xmlns:a16="http://schemas.microsoft.com/office/drawing/2014/main" id="{6E1EDCBE-0637-4DAC-87DE-4B94DE56C5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243840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323850</xdr:colOff>
      <xdr:row>58</xdr:row>
      <xdr:rowOff>57150</xdr:rowOff>
    </xdr:from>
    <xdr:to>
      <xdr:col>5</xdr:col>
      <xdr:colOff>752475</xdr:colOff>
      <xdr:row>58</xdr:row>
      <xdr:rowOff>409575</xdr:rowOff>
    </xdr:to>
    <xdr:pic>
      <xdr:nvPicPr>
        <xdr:cNvPr id="73" name="รูปภาพ 72">
          <a:extLst>
            <a:ext uri="{FF2B5EF4-FFF2-40B4-BE49-F238E27FC236}">
              <a16:creationId xmlns:a16="http://schemas.microsoft.com/office/drawing/2014/main" id="{651A2ADD-3333-4026-9EDD-5F382070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248793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61</xdr:row>
      <xdr:rowOff>9525</xdr:rowOff>
    </xdr:from>
    <xdr:to>
      <xdr:col>5</xdr:col>
      <xdr:colOff>742950</xdr:colOff>
      <xdr:row>61</xdr:row>
      <xdr:rowOff>361950</xdr:rowOff>
    </xdr:to>
    <xdr:pic>
      <xdr:nvPicPr>
        <xdr:cNvPr id="74" name="รูปภาพ 73">
          <a:extLst>
            <a:ext uri="{FF2B5EF4-FFF2-40B4-BE49-F238E27FC236}">
              <a16:creationId xmlns:a16="http://schemas.microsoft.com/office/drawing/2014/main" id="{40B17A4B-3438-425F-918E-07F3B3794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260604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323850</xdr:colOff>
      <xdr:row>59</xdr:row>
      <xdr:rowOff>19050</xdr:rowOff>
    </xdr:from>
    <xdr:to>
      <xdr:col>5</xdr:col>
      <xdr:colOff>752475</xdr:colOff>
      <xdr:row>60</xdr:row>
      <xdr:rowOff>0</xdr:rowOff>
    </xdr:to>
    <xdr:pic>
      <xdr:nvPicPr>
        <xdr:cNvPr id="75" name="รูปภาพ 74">
          <a:extLst>
            <a:ext uri="{FF2B5EF4-FFF2-40B4-BE49-F238E27FC236}">
              <a16:creationId xmlns:a16="http://schemas.microsoft.com/office/drawing/2014/main" id="{789C30ED-4CC6-41D7-A9CA-2AD6E2A69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253269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819150</xdr:colOff>
      <xdr:row>63</xdr:row>
      <xdr:rowOff>3175</xdr:rowOff>
    </xdr:from>
    <xdr:to>
      <xdr:col>1</xdr:col>
      <xdr:colOff>1244600</xdr:colOff>
      <xdr:row>63</xdr:row>
      <xdr:rowOff>355600</xdr:rowOff>
    </xdr:to>
    <xdr:pic>
      <xdr:nvPicPr>
        <xdr:cNvPr id="77" name="รูปภาพ 76">
          <a:extLst>
            <a:ext uri="{FF2B5EF4-FFF2-40B4-BE49-F238E27FC236}">
              <a16:creationId xmlns:a16="http://schemas.microsoft.com/office/drawing/2014/main" id="{725B3F9F-E926-406A-8010-2A09CDD63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2679700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349250</xdr:colOff>
      <xdr:row>63</xdr:row>
      <xdr:rowOff>22225</xdr:rowOff>
    </xdr:from>
    <xdr:to>
      <xdr:col>2</xdr:col>
      <xdr:colOff>781050</xdr:colOff>
      <xdr:row>64</xdr:row>
      <xdr:rowOff>3175</xdr:rowOff>
    </xdr:to>
    <xdr:pic>
      <xdr:nvPicPr>
        <xdr:cNvPr id="78" name="รูปภาพ 77">
          <a:extLst>
            <a:ext uri="{FF2B5EF4-FFF2-40B4-BE49-F238E27FC236}">
              <a16:creationId xmlns:a16="http://schemas.microsoft.com/office/drawing/2014/main" id="{F4992F1D-9C6E-41B3-9720-86B1842750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2681605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1209675</xdr:colOff>
      <xdr:row>63</xdr:row>
      <xdr:rowOff>3175</xdr:rowOff>
    </xdr:from>
    <xdr:to>
      <xdr:col>3</xdr:col>
      <xdr:colOff>371475</xdr:colOff>
      <xdr:row>63</xdr:row>
      <xdr:rowOff>355600</xdr:rowOff>
    </xdr:to>
    <xdr:pic>
      <xdr:nvPicPr>
        <xdr:cNvPr id="79" name="รูปภาพ 78">
          <a:extLst>
            <a:ext uri="{FF2B5EF4-FFF2-40B4-BE49-F238E27FC236}">
              <a16:creationId xmlns:a16="http://schemas.microsoft.com/office/drawing/2014/main" id="{F78303DE-E91D-4E55-A6D3-F7511C170A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267970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847725</xdr:colOff>
      <xdr:row>63</xdr:row>
      <xdr:rowOff>12700</xdr:rowOff>
    </xdr:from>
    <xdr:to>
      <xdr:col>4</xdr:col>
      <xdr:colOff>12700</xdr:colOff>
      <xdr:row>63</xdr:row>
      <xdr:rowOff>365125</xdr:rowOff>
    </xdr:to>
    <xdr:pic>
      <xdr:nvPicPr>
        <xdr:cNvPr id="86" name="รูปภาพ 85">
          <a:extLst>
            <a:ext uri="{FF2B5EF4-FFF2-40B4-BE49-F238E27FC236}">
              <a16:creationId xmlns:a16="http://schemas.microsoft.com/office/drawing/2014/main" id="{5D35DDC5-8B2D-435D-B01D-EE53C4BD560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2680652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552450</xdr:colOff>
      <xdr:row>63</xdr:row>
      <xdr:rowOff>12700</xdr:rowOff>
    </xdr:from>
    <xdr:to>
      <xdr:col>4</xdr:col>
      <xdr:colOff>977900</xdr:colOff>
      <xdr:row>63</xdr:row>
      <xdr:rowOff>365125</xdr:rowOff>
    </xdr:to>
    <xdr:pic>
      <xdr:nvPicPr>
        <xdr:cNvPr id="87" name="รูปภาพ 86">
          <a:extLst>
            <a:ext uri="{FF2B5EF4-FFF2-40B4-BE49-F238E27FC236}">
              <a16:creationId xmlns:a16="http://schemas.microsoft.com/office/drawing/2014/main" id="{9F43CAD6-07A4-4E5E-B2A6-77A6F1304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2680652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815975</xdr:colOff>
      <xdr:row>64</xdr:row>
      <xdr:rowOff>3175</xdr:rowOff>
    </xdr:from>
    <xdr:to>
      <xdr:col>1</xdr:col>
      <xdr:colOff>1244600</xdr:colOff>
      <xdr:row>64</xdr:row>
      <xdr:rowOff>355600</xdr:rowOff>
    </xdr:to>
    <xdr:pic>
      <xdr:nvPicPr>
        <xdr:cNvPr id="88" name="รูปภาพ 87">
          <a:extLst>
            <a:ext uri="{FF2B5EF4-FFF2-40B4-BE49-F238E27FC236}">
              <a16:creationId xmlns:a16="http://schemas.microsoft.com/office/drawing/2014/main" id="{A9F02396-618A-4A65-AC1F-99ED4A185F0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271684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352425</xdr:colOff>
      <xdr:row>38</xdr:row>
      <xdr:rowOff>19050</xdr:rowOff>
    </xdr:from>
    <xdr:to>
      <xdr:col>5</xdr:col>
      <xdr:colOff>781050</xdr:colOff>
      <xdr:row>39</xdr:row>
      <xdr:rowOff>0</xdr:rowOff>
    </xdr:to>
    <xdr:pic>
      <xdr:nvPicPr>
        <xdr:cNvPr id="89" name="รูปภาพ 88">
          <a:extLst>
            <a:ext uri="{FF2B5EF4-FFF2-40B4-BE49-F238E27FC236}">
              <a16:creationId xmlns:a16="http://schemas.microsoft.com/office/drawing/2014/main" id="{509DE98E-969C-4A0B-A22E-33EC69B8E64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72375" y="162782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29</xdr:row>
      <xdr:rowOff>9525</xdr:rowOff>
    </xdr:from>
    <xdr:to>
      <xdr:col>5</xdr:col>
      <xdr:colOff>809625</xdr:colOff>
      <xdr:row>29</xdr:row>
      <xdr:rowOff>361950</xdr:rowOff>
    </xdr:to>
    <xdr:pic>
      <xdr:nvPicPr>
        <xdr:cNvPr id="90" name="รูปภาพ 89">
          <a:extLst>
            <a:ext uri="{FF2B5EF4-FFF2-40B4-BE49-F238E27FC236}">
              <a16:creationId xmlns:a16="http://schemas.microsoft.com/office/drawing/2014/main" id="{93FE8163-8E52-457D-B50B-EF69BD7EE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18967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30</xdr:row>
      <xdr:rowOff>9525</xdr:rowOff>
    </xdr:from>
    <xdr:to>
      <xdr:col>5</xdr:col>
      <xdr:colOff>809625</xdr:colOff>
      <xdr:row>30</xdr:row>
      <xdr:rowOff>361950</xdr:rowOff>
    </xdr:to>
    <xdr:pic>
      <xdr:nvPicPr>
        <xdr:cNvPr id="91" name="รูปภาพ 90">
          <a:extLst>
            <a:ext uri="{FF2B5EF4-FFF2-40B4-BE49-F238E27FC236}">
              <a16:creationId xmlns:a16="http://schemas.microsoft.com/office/drawing/2014/main" id="{633FDCE4-8E74-46C2-B886-481F876FE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29540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62</xdr:row>
      <xdr:rowOff>0</xdr:rowOff>
    </xdr:from>
    <xdr:to>
      <xdr:col>5</xdr:col>
      <xdr:colOff>742950</xdr:colOff>
      <xdr:row>62</xdr:row>
      <xdr:rowOff>352425</xdr:rowOff>
    </xdr:to>
    <xdr:pic>
      <xdr:nvPicPr>
        <xdr:cNvPr id="76" name="รูปภาพ 75">
          <a:extLst>
            <a:ext uri="{FF2B5EF4-FFF2-40B4-BE49-F238E27FC236}">
              <a16:creationId xmlns:a16="http://schemas.microsoft.com/office/drawing/2014/main" id="{DF55AAA5-8624-4DF3-A550-340D5E3550F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34475" y="264223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1076325</xdr:colOff>
      <xdr:row>0</xdr:row>
      <xdr:rowOff>0</xdr:rowOff>
    </xdr:from>
    <xdr:to>
      <xdr:col>0</xdr:col>
      <xdr:colOff>1076325</xdr:colOff>
      <xdr:row>0</xdr:row>
      <xdr:rowOff>352425</xdr:rowOff>
    </xdr:to>
    <xdr:pic>
      <xdr:nvPicPr>
        <xdr:cNvPr id="2" name="รูปภาพ 1" descr="http://www.plan.lpru.ac.th/pod/isp/images/icon/coloricon/b1.png">
          <a:extLst>
            <a:ext uri="{FF2B5EF4-FFF2-40B4-BE49-F238E27FC236}">
              <a16:creationId xmlns:a16="http://schemas.microsoft.com/office/drawing/2014/main" id="{F89DC8CC-E8BA-4F37-AB8A-EA76C4BC0859}"/>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twoCellAnchor>
  <xdr:twoCellAnchor editAs="oneCell">
    <xdr:from>
      <xdr:col>0</xdr:col>
      <xdr:colOff>2019300</xdr:colOff>
      <xdr:row>0</xdr:row>
      <xdr:rowOff>0</xdr:rowOff>
    </xdr:from>
    <xdr:to>
      <xdr:col>0</xdr:col>
      <xdr:colOff>2019300</xdr:colOff>
      <xdr:row>0</xdr:row>
      <xdr:rowOff>352425</xdr:rowOff>
    </xdr:to>
    <xdr:pic>
      <xdr:nvPicPr>
        <xdr:cNvPr id="3" name="รูปภาพ 2" descr="http://www.plan.lpru.ac.th/pod/isp/images/icon/coloricon/b2.png">
          <a:extLst>
            <a:ext uri="{FF2B5EF4-FFF2-40B4-BE49-F238E27FC236}">
              <a16:creationId xmlns:a16="http://schemas.microsoft.com/office/drawing/2014/main" id="{61E15270-CFA0-4BF9-8CD3-5508198CCE2C}"/>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twoCellAnchor>
  <xdr:twoCellAnchor editAs="oneCell">
    <xdr:from>
      <xdr:col>0</xdr:col>
      <xdr:colOff>3143250</xdr:colOff>
      <xdr:row>0</xdr:row>
      <xdr:rowOff>0</xdr:rowOff>
    </xdr:from>
    <xdr:to>
      <xdr:col>0</xdr:col>
      <xdr:colOff>3143250</xdr:colOff>
      <xdr:row>0</xdr:row>
      <xdr:rowOff>352425</xdr:rowOff>
    </xdr:to>
    <xdr:pic>
      <xdr:nvPicPr>
        <xdr:cNvPr id="4" name="รูปภาพ 3" descr="http://www.plan.lpru.ac.th/pod/isp/images/icon/coloricon/b3.png">
          <a:extLst>
            <a:ext uri="{FF2B5EF4-FFF2-40B4-BE49-F238E27FC236}">
              <a16:creationId xmlns:a16="http://schemas.microsoft.com/office/drawing/2014/main" id="{40B95164-CB16-46BB-99DC-2965CAF8B77D}"/>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twoCellAnchor>
  <xdr:twoCellAnchor editAs="oneCell">
    <xdr:from>
      <xdr:col>0</xdr:col>
      <xdr:colOff>4324350</xdr:colOff>
      <xdr:row>0</xdr:row>
      <xdr:rowOff>0</xdr:rowOff>
    </xdr:from>
    <xdr:to>
      <xdr:col>1</xdr:col>
      <xdr:colOff>6350</xdr:colOff>
      <xdr:row>0</xdr:row>
      <xdr:rowOff>352425</xdr:rowOff>
    </xdr:to>
    <xdr:pic>
      <xdr:nvPicPr>
        <xdr:cNvPr id="5" name="รูปภาพ 4" descr="http://www.plan.lpru.ac.th/pod/isp/images/icon/coloricon/b4.png">
          <a:extLst>
            <a:ext uri="{FF2B5EF4-FFF2-40B4-BE49-F238E27FC236}">
              <a16:creationId xmlns:a16="http://schemas.microsoft.com/office/drawing/2014/main" id="{F7E17C2B-3F27-4240-BEDA-F7337927DF38}"/>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twoCellAnchor>
  <xdr:twoCellAnchor editAs="oneCell">
    <xdr:from>
      <xdr:col>0</xdr:col>
      <xdr:colOff>5438775</xdr:colOff>
      <xdr:row>0</xdr:row>
      <xdr:rowOff>0</xdr:rowOff>
    </xdr:from>
    <xdr:to>
      <xdr:col>1</xdr:col>
      <xdr:colOff>6350</xdr:colOff>
      <xdr:row>0</xdr:row>
      <xdr:rowOff>352425</xdr:rowOff>
    </xdr:to>
    <xdr:pic>
      <xdr:nvPicPr>
        <xdr:cNvPr id="6" name="รูปภาพ 5" descr="http://www.plan.lpru.ac.th/pod/isp/images/icon/coloricon/b5.png">
          <a:extLst>
            <a:ext uri="{FF2B5EF4-FFF2-40B4-BE49-F238E27FC236}">
              <a16:creationId xmlns:a16="http://schemas.microsoft.com/office/drawing/2014/main" id="{405A809A-BDBE-490E-916E-219BBA83883A}"/>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twoCellAnchor>
  <xdr:twoCellAnchor>
    <xdr:from>
      <xdr:col>0</xdr:col>
      <xdr:colOff>5486400</xdr:colOff>
      <xdr:row>318</xdr:row>
      <xdr:rowOff>133350</xdr:rowOff>
    </xdr:from>
    <xdr:to>
      <xdr:col>0</xdr:col>
      <xdr:colOff>5915025</xdr:colOff>
      <xdr:row>320</xdr:row>
      <xdr:rowOff>123825</xdr:rowOff>
    </xdr:to>
    <xdr:pic>
      <xdr:nvPicPr>
        <xdr:cNvPr id="7" name="Picture 75" descr="http://www.plan.lpru.ac.th/pod/isp/images/icon/coloricon/b1.png">
          <a:extLst>
            <a:ext uri="{FF2B5EF4-FFF2-40B4-BE49-F238E27FC236}">
              <a16:creationId xmlns:a16="http://schemas.microsoft.com/office/drawing/2014/main" id="{053D67C9-8D6B-45A5-808A-6FF1DE6EA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44684750"/>
          <a:ext cx="0" cy="733425"/>
        </a:xfrm>
        <a:prstGeom prst="rect">
          <a:avLst/>
        </a:prstGeom>
        <a:noFill/>
      </xdr:spPr>
    </xdr:pic>
    <xdr:clientData/>
  </xdr:twoCellAnchor>
  <xdr:twoCellAnchor editAs="oneCell">
    <xdr:from>
      <xdr:col>1</xdr:col>
      <xdr:colOff>819150</xdr:colOff>
      <xdr:row>1</xdr:row>
      <xdr:rowOff>3175</xdr:rowOff>
    </xdr:from>
    <xdr:to>
      <xdr:col>1</xdr:col>
      <xdr:colOff>1244600</xdr:colOff>
      <xdr:row>1</xdr:row>
      <xdr:rowOff>355600</xdr:rowOff>
    </xdr:to>
    <xdr:pic>
      <xdr:nvPicPr>
        <xdr:cNvPr id="56" name="รูปภาพ 55">
          <a:extLst>
            <a:ext uri="{FF2B5EF4-FFF2-40B4-BE49-F238E27FC236}">
              <a16:creationId xmlns:a16="http://schemas.microsoft.com/office/drawing/2014/main" id="{C37F857B-FE7E-4C29-864B-4E65816C0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2679700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349250</xdr:colOff>
      <xdr:row>1</xdr:row>
      <xdr:rowOff>22225</xdr:rowOff>
    </xdr:from>
    <xdr:to>
      <xdr:col>2</xdr:col>
      <xdr:colOff>781050</xdr:colOff>
      <xdr:row>2</xdr:row>
      <xdr:rowOff>3175</xdr:rowOff>
    </xdr:to>
    <xdr:pic>
      <xdr:nvPicPr>
        <xdr:cNvPr id="57" name="รูปภาพ 56">
          <a:extLst>
            <a:ext uri="{FF2B5EF4-FFF2-40B4-BE49-F238E27FC236}">
              <a16:creationId xmlns:a16="http://schemas.microsoft.com/office/drawing/2014/main" id="{19814B8C-CAAE-4ADB-88C0-3FDD3C486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2681605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1209675</xdr:colOff>
      <xdr:row>1</xdr:row>
      <xdr:rowOff>3175</xdr:rowOff>
    </xdr:from>
    <xdr:to>
      <xdr:col>3</xdr:col>
      <xdr:colOff>371475</xdr:colOff>
      <xdr:row>1</xdr:row>
      <xdr:rowOff>355600</xdr:rowOff>
    </xdr:to>
    <xdr:pic>
      <xdr:nvPicPr>
        <xdr:cNvPr id="58" name="รูปภาพ 57">
          <a:extLst>
            <a:ext uri="{FF2B5EF4-FFF2-40B4-BE49-F238E27FC236}">
              <a16:creationId xmlns:a16="http://schemas.microsoft.com/office/drawing/2014/main" id="{187D621E-9B9C-496A-9AA2-A761E98DDA7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2679700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847725</xdr:colOff>
      <xdr:row>1</xdr:row>
      <xdr:rowOff>12700</xdr:rowOff>
    </xdr:from>
    <xdr:to>
      <xdr:col>4</xdr:col>
      <xdr:colOff>12700</xdr:colOff>
      <xdr:row>1</xdr:row>
      <xdr:rowOff>365125</xdr:rowOff>
    </xdr:to>
    <xdr:pic>
      <xdr:nvPicPr>
        <xdr:cNvPr id="59" name="รูปภาพ 58">
          <a:extLst>
            <a:ext uri="{FF2B5EF4-FFF2-40B4-BE49-F238E27FC236}">
              <a16:creationId xmlns:a16="http://schemas.microsoft.com/office/drawing/2014/main" id="{F33ACC2F-38F9-46E3-A999-5B169BD95AB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2680652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552450</xdr:colOff>
      <xdr:row>1</xdr:row>
      <xdr:rowOff>12700</xdr:rowOff>
    </xdr:from>
    <xdr:to>
      <xdr:col>4</xdr:col>
      <xdr:colOff>977900</xdr:colOff>
      <xdr:row>1</xdr:row>
      <xdr:rowOff>365125</xdr:rowOff>
    </xdr:to>
    <xdr:pic>
      <xdr:nvPicPr>
        <xdr:cNvPr id="60" name="รูปภาพ 59">
          <a:extLst>
            <a:ext uri="{FF2B5EF4-FFF2-40B4-BE49-F238E27FC236}">
              <a16:creationId xmlns:a16="http://schemas.microsoft.com/office/drawing/2014/main" id="{CEB31E91-8950-434A-A605-70E722EADE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2680652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815975</xdr:colOff>
      <xdr:row>2</xdr:row>
      <xdr:rowOff>3175</xdr:rowOff>
    </xdr:from>
    <xdr:to>
      <xdr:col>1</xdr:col>
      <xdr:colOff>1244600</xdr:colOff>
      <xdr:row>2</xdr:row>
      <xdr:rowOff>355600</xdr:rowOff>
    </xdr:to>
    <xdr:pic>
      <xdr:nvPicPr>
        <xdr:cNvPr id="61" name="รูปภาพ 60">
          <a:extLst>
            <a:ext uri="{FF2B5EF4-FFF2-40B4-BE49-F238E27FC236}">
              <a16:creationId xmlns:a16="http://schemas.microsoft.com/office/drawing/2014/main" id="{FB023A31-B2CA-4421-8631-804E8218E19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271684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323850</xdr:colOff>
      <xdr:row>0</xdr:row>
      <xdr:rowOff>9525</xdr:rowOff>
    </xdr:from>
    <xdr:to>
      <xdr:col>5</xdr:col>
      <xdr:colOff>752475</xdr:colOff>
      <xdr:row>0</xdr:row>
      <xdr:rowOff>361950</xdr:rowOff>
    </xdr:to>
    <xdr:pic>
      <xdr:nvPicPr>
        <xdr:cNvPr id="65" name="รูปภาพ 64">
          <a:extLst>
            <a:ext uri="{FF2B5EF4-FFF2-40B4-BE49-F238E27FC236}">
              <a16:creationId xmlns:a16="http://schemas.microsoft.com/office/drawing/2014/main" id="{357FE55E-BF71-491B-BEB4-7C68201C081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1076325</xdr:colOff>
      <xdr:row>3</xdr:row>
      <xdr:rowOff>0</xdr:rowOff>
    </xdr:from>
    <xdr:ext cx="0" cy="352425"/>
    <xdr:pic>
      <xdr:nvPicPr>
        <xdr:cNvPr id="66" name="รูปภาพ 65" descr="http://www.plan.lpru.ac.th/pod/isp/images/icon/coloricon/b1.png">
          <a:extLst>
            <a:ext uri="{FF2B5EF4-FFF2-40B4-BE49-F238E27FC236}">
              <a16:creationId xmlns:a16="http://schemas.microsoft.com/office/drawing/2014/main" id="{61BAD9E9-65A3-4782-B98A-0161AD69EDCF}"/>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3</xdr:row>
      <xdr:rowOff>0</xdr:rowOff>
    </xdr:from>
    <xdr:ext cx="0" cy="352425"/>
    <xdr:pic>
      <xdr:nvPicPr>
        <xdr:cNvPr id="67" name="รูปภาพ 66" descr="http://www.plan.lpru.ac.th/pod/isp/images/icon/coloricon/b2.png">
          <a:extLst>
            <a:ext uri="{FF2B5EF4-FFF2-40B4-BE49-F238E27FC236}">
              <a16:creationId xmlns:a16="http://schemas.microsoft.com/office/drawing/2014/main" id="{3F780429-05FE-48E0-9121-30FBE5D64EBF}"/>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3</xdr:row>
      <xdr:rowOff>0</xdr:rowOff>
    </xdr:from>
    <xdr:ext cx="0" cy="352425"/>
    <xdr:pic>
      <xdr:nvPicPr>
        <xdr:cNvPr id="68" name="รูปภาพ 67" descr="http://www.plan.lpru.ac.th/pod/isp/images/icon/coloricon/b3.png">
          <a:extLst>
            <a:ext uri="{FF2B5EF4-FFF2-40B4-BE49-F238E27FC236}">
              <a16:creationId xmlns:a16="http://schemas.microsoft.com/office/drawing/2014/main" id="{A3618531-706E-4FC6-A68C-E81D76EF8298}"/>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3</xdr:row>
      <xdr:rowOff>0</xdr:rowOff>
    </xdr:from>
    <xdr:ext cx="6350" cy="352425"/>
    <xdr:pic>
      <xdr:nvPicPr>
        <xdr:cNvPr id="69" name="รูปภาพ 68" descr="http://www.plan.lpru.ac.th/pod/isp/images/icon/coloricon/b4.png">
          <a:extLst>
            <a:ext uri="{FF2B5EF4-FFF2-40B4-BE49-F238E27FC236}">
              <a16:creationId xmlns:a16="http://schemas.microsoft.com/office/drawing/2014/main" id="{D6301EF3-DBC3-4599-9333-450CCAE9FA7E}"/>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3</xdr:row>
      <xdr:rowOff>0</xdr:rowOff>
    </xdr:from>
    <xdr:ext cx="6350" cy="352425"/>
    <xdr:pic>
      <xdr:nvPicPr>
        <xdr:cNvPr id="70" name="รูปภาพ 69" descr="http://www.plan.lpru.ac.th/pod/isp/images/icon/coloricon/b5.png">
          <a:extLst>
            <a:ext uri="{FF2B5EF4-FFF2-40B4-BE49-F238E27FC236}">
              <a16:creationId xmlns:a16="http://schemas.microsoft.com/office/drawing/2014/main" id="{45148AC4-B3A1-4017-AFA1-49C28D12B2AF}"/>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4</xdr:row>
      <xdr:rowOff>3175</xdr:rowOff>
    </xdr:from>
    <xdr:ext cx="425450" cy="352425"/>
    <xdr:pic>
      <xdr:nvPicPr>
        <xdr:cNvPr id="71" name="รูปภาพ 70">
          <a:extLst>
            <a:ext uri="{FF2B5EF4-FFF2-40B4-BE49-F238E27FC236}">
              <a16:creationId xmlns:a16="http://schemas.microsoft.com/office/drawing/2014/main" id="{921290F9-524F-4D7C-8D83-DA2381F76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4</xdr:row>
      <xdr:rowOff>22225</xdr:rowOff>
    </xdr:from>
    <xdr:ext cx="431800" cy="352425"/>
    <xdr:pic>
      <xdr:nvPicPr>
        <xdr:cNvPr id="72" name="รูปภาพ 71">
          <a:extLst>
            <a:ext uri="{FF2B5EF4-FFF2-40B4-BE49-F238E27FC236}">
              <a16:creationId xmlns:a16="http://schemas.microsoft.com/office/drawing/2014/main" id="{552D4E36-312D-4945-A1CC-69BDD9FBFF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4</xdr:row>
      <xdr:rowOff>3175</xdr:rowOff>
    </xdr:from>
    <xdr:ext cx="428625" cy="352425"/>
    <xdr:pic>
      <xdr:nvPicPr>
        <xdr:cNvPr id="73" name="รูปภาพ 72">
          <a:extLst>
            <a:ext uri="{FF2B5EF4-FFF2-40B4-BE49-F238E27FC236}">
              <a16:creationId xmlns:a16="http://schemas.microsoft.com/office/drawing/2014/main" id="{2C1EB02E-E495-4A0A-88B3-59566F4415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4</xdr:row>
      <xdr:rowOff>12700</xdr:rowOff>
    </xdr:from>
    <xdr:ext cx="431800" cy="352425"/>
    <xdr:pic>
      <xdr:nvPicPr>
        <xdr:cNvPr id="74" name="รูปภาพ 73">
          <a:extLst>
            <a:ext uri="{FF2B5EF4-FFF2-40B4-BE49-F238E27FC236}">
              <a16:creationId xmlns:a16="http://schemas.microsoft.com/office/drawing/2014/main" id="{A0DDD3A2-B8C1-4F9F-852C-859A27ADD08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4</xdr:row>
      <xdr:rowOff>12700</xdr:rowOff>
    </xdr:from>
    <xdr:ext cx="425450" cy="352425"/>
    <xdr:pic>
      <xdr:nvPicPr>
        <xdr:cNvPr id="75" name="รูปภาพ 74">
          <a:extLst>
            <a:ext uri="{FF2B5EF4-FFF2-40B4-BE49-F238E27FC236}">
              <a16:creationId xmlns:a16="http://schemas.microsoft.com/office/drawing/2014/main" id="{EBC9AA42-527C-4AC5-9BA7-CC5916D4DD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5</xdr:row>
      <xdr:rowOff>3175</xdr:rowOff>
    </xdr:from>
    <xdr:ext cx="428625" cy="352425"/>
    <xdr:pic>
      <xdr:nvPicPr>
        <xdr:cNvPr id="76" name="รูปภาพ 75">
          <a:extLst>
            <a:ext uri="{FF2B5EF4-FFF2-40B4-BE49-F238E27FC236}">
              <a16:creationId xmlns:a16="http://schemas.microsoft.com/office/drawing/2014/main" id="{518CED35-25ED-4F7D-9591-A3DC0127005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3</xdr:row>
      <xdr:rowOff>9525</xdr:rowOff>
    </xdr:from>
    <xdr:ext cx="428625" cy="352425"/>
    <xdr:pic>
      <xdr:nvPicPr>
        <xdr:cNvPr id="77" name="รูปภาพ 76">
          <a:extLst>
            <a:ext uri="{FF2B5EF4-FFF2-40B4-BE49-F238E27FC236}">
              <a16:creationId xmlns:a16="http://schemas.microsoft.com/office/drawing/2014/main" id="{621FC82A-0125-4F69-B23F-F76CE11D0D7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6</xdr:row>
      <xdr:rowOff>0</xdr:rowOff>
    </xdr:from>
    <xdr:ext cx="0" cy="352425"/>
    <xdr:pic>
      <xdr:nvPicPr>
        <xdr:cNvPr id="78" name="รูปภาพ 77" descr="http://www.plan.lpru.ac.th/pod/isp/images/icon/coloricon/b1.png">
          <a:extLst>
            <a:ext uri="{FF2B5EF4-FFF2-40B4-BE49-F238E27FC236}">
              <a16:creationId xmlns:a16="http://schemas.microsoft.com/office/drawing/2014/main" id="{A0DDF597-104D-4DD6-A6E0-D883C4A87DB6}"/>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6</xdr:row>
      <xdr:rowOff>0</xdr:rowOff>
    </xdr:from>
    <xdr:ext cx="0" cy="352425"/>
    <xdr:pic>
      <xdr:nvPicPr>
        <xdr:cNvPr id="79" name="รูปภาพ 78" descr="http://www.plan.lpru.ac.th/pod/isp/images/icon/coloricon/b2.png">
          <a:extLst>
            <a:ext uri="{FF2B5EF4-FFF2-40B4-BE49-F238E27FC236}">
              <a16:creationId xmlns:a16="http://schemas.microsoft.com/office/drawing/2014/main" id="{088D0726-6B8D-4BFB-B7C9-4A3C060821B8}"/>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6</xdr:row>
      <xdr:rowOff>0</xdr:rowOff>
    </xdr:from>
    <xdr:ext cx="0" cy="352425"/>
    <xdr:pic>
      <xdr:nvPicPr>
        <xdr:cNvPr id="80" name="รูปภาพ 79" descr="http://www.plan.lpru.ac.th/pod/isp/images/icon/coloricon/b3.png">
          <a:extLst>
            <a:ext uri="{FF2B5EF4-FFF2-40B4-BE49-F238E27FC236}">
              <a16:creationId xmlns:a16="http://schemas.microsoft.com/office/drawing/2014/main" id="{F18685DA-3A2F-4438-9BB6-4DBAE4F3F32A}"/>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6</xdr:row>
      <xdr:rowOff>0</xdr:rowOff>
    </xdr:from>
    <xdr:ext cx="6350" cy="352425"/>
    <xdr:pic>
      <xdr:nvPicPr>
        <xdr:cNvPr id="81" name="รูปภาพ 80" descr="http://www.plan.lpru.ac.th/pod/isp/images/icon/coloricon/b4.png">
          <a:extLst>
            <a:ext uri="{FF2B5EF4-FFF2-40B4-BE49-F238E27FC236}">
              <a16:creationId xmlns:a16="http://schemas.microsoft.com/office/drawing/2014/main" id="{B739635A-4D09-4CB2-A0D2-A149AD0BDDD2}"/>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6</xdr:row>
      <xdr:rowOff>0</xdr:rowOff>
    </xdr:from>
    <xdr:ext cx="6350" cy="352425"/>
    <xdr:pic>
      <xdr:nvPicPr>
        <xdr:cNvPr id="82" name="รูปภาพ 81" descr="http://www.plan.lpru.ac.th/pod/isp/images/icon/coloricon/b5.png">
          <a:extLst>
            <a:ext uri="{FF2B5EF4-FFF2-40B4-BE49-F238E27FC236}">
              <a16:creationId xmlns:a16="http://schemas.microsoft.com/office/drawing/2014/main" id="{121867FB-122D-4FF5-8029-2E366B42551C}"/>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7</xdr:row>
      <xdr:rowOff>3175</xdr:rowOff>
    </xdr:from>
    <xdr:ext cx="425450" cy="352425"/>
    <xdr:pic>
      <xdr:nvPicPr>
        <xdr:cNvPr id="83" name="รูปภาพ 82">
          <a:extLst>
            <a:ext uri="{FF2B5EF4-FFF2-40B4-BE49-F238E27FC236}">
              <a16:creationId xmlns:a16="http://schemas.microsoft.com/office/drawing/2014/main" id="{1DFFB53E-56A5-4232-A80D-864B8D68B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7</xdr:row>
      <xdr:rowOff>22225</xdr:rowOff>
    </xdr:from>
    <xdr:ext cx="431800" cy="352425"/>
    <xdr:pic>
      <xdr:nvPicPr>
        <xdr:cNvPr id="84" name="รูปภาพ 83">
          <a:extLst>
            <a:ext uri="{FF2B5EF4-FFF2-40B4-BE49-F238E27FC236}">
              <a16:creationId xmlns:a16="http://schemas.microsoft.com/office/drawing/2014/main" id="{4F1388E5-C41B-47CC-AEDC-B137B1A5F2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7</xdr:row>
      <xdr:rowOff>3175</xdr:rowOff>
    </xdr:from>
    <xdr:ext cx="428625" cy="352425"/>
    <xdr:pic>
      <xdr:nvPicPr>
        <xdr:cNvPr id="85" name="รูปภาพ 84">
          <a:extLst>
            <a:ext uri="{FF2B5EF4-FFF2-40B4-BE49-F238E27FC236}">
              <a16:creationId xmlns:a16="http://schemas.microsoft.com/office/drawing/2014/main" id="{F44C0A14-BB2D-4A2F-BDCA-0084911F8E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7</xdr:row>
      <xdr:rowOff>12700</xdr:rowOff>
    </xdr:from>
    <xdr:ext cx="431800" cy="352425"/>
    <xdr:pic>
      <xdr:nvPicPr>
        <xdr:cNvPr id="86" name="รูปภาพ 85">
          <a:extLst>
            <a:ext uri="{FF2B5EF4-FFF2-40B4-BE49-F238E27FC236}">
              <a16:creationId xmlns:a16="http://schemas.microsoft.com/office/drawing/2014/main" id="{3650F9C8-D890-4B74-8C4E-4831E4C5F8D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7</xdr:row>
      <xdr:rowOff>12700</xdr:rowOff>
    </xdr:from>
    <xdr:ext cx="425450" cy="352425"/>
    <xdr:pic>
      <xdr:nvPicPr>
        <xdr:cNvPr id="87" name="รูปภาพ 86">
          <a:extLst>
            <a:ext uri="{FF2B5EF4-FFF2-40B4-BE49-F238E27FC236}">
              <a16:creationId xmlns:a16="http://schemas.microsoft.com/office/drawing/2014/main" id="{B5A203BD-5119-42E0-9603-B7E2FE9E546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8</xdr:row>
      <xdr:rowOff>3175</xdr:rowOff>
    </xdr:from>
    <xdr:ext cx="428625" cy="352425"/>
    <xdr:pic>
      <xdr:nvPicPr>
        <xdr:cNvPr id="88" name="รูปภาพ 87">
          <a:extLst>
            <a:ext uri="{FF2B5EF4-FFF2-40B4-BE49-F238E27FC236}">
              <a16:creationId xmlns:a16="http://schemas.microsoft.com/office/drawing/2014/main" id="{E090CDCF-3F23-4D90-80EF-2AA180867E3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6</xdr:row>
      <xdr:rowOff>9525</xdr:rowOff>
    </xdr:from>
    <xdr:ext cx="428625" cy="352425"/>
    <xdr:pic>
      <xdr:nvPicPr>
        <xdr:cNvPr id="89" name="รูปภาพ 88">
          <a:extLst>
            <a:ext uri="{FF2B5EF4-FFF2-40B4-BE49-F238E27FC236}">
              <a16:creationId xmlns:a16="http://schemas.microsoft.com/office/drawing/2014/main" id="{1049B51A-AD70-4F5C-A7D5-46530F7A535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9</xdr:row>
      <xdr:rowOff>0</xdr:rowOff>
    </xdr:from>
    <xdr:ext cx="0" cy="352425"/>
    <xdr:pic>
      <xdr:nvPicPr>
        <xdr:cNvPr id="90" name="รูปภาพ 89" descr="http://www.plan.lpru.ac.th/pod/isp/images/icon/coloricon/b1.png">
          <a:extLst>
            <a:ext uri="{FF2B5EF4-FFF2-40B4-BE49-F238E27FC236}">
              <a16:creationId xmlns:a16="http://schemas.microsoft.com/office/drawing/2014/main" id="{2DCE638A-ECD9-4037-B38F-20ED4ADBDAAA}"/>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9</xdr:row>
      <xdr:rowOff>0</xdr:rowOff>
    </xdr:from>
    <xdr:ext cx="0" cy="352425"/>
    <xdr:pic>
      <xdr:nvPicPr>
        <xdr:cNvPr id="91" name="รูปภาพ 90" descr="http://www.plan.lpru.ac.th/pod/isp/images/icon/coloricon/b2.png">
          <a:extLst>
            <a:ext uri="{FF2B5EF4-FFF2-40B4-BE49-F238E27FC236}">
              <a16:creationId xmlns:a16="http://schemas.microsoft.com/office/drawing/2014/main" id="{DE4D50DB-3A49-432E-B9D4-58945C39B3A9}"/>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9</xdr:row>
      <xdr:rowOff>0</xdr:rowOff>
    </xdr:from>
    <xdr:ext cx="0" cy="352425"/>
    <xdr:pic>
      <xdr:nvPicPr>
        <xdr:cNvPr id="92" name="รูปภาพ 91" descr="http://www.plan.lpru.ac.th/pod/isp/images/icon/coloricon/b3.png">
          <a:extLst>
            <a:ext uri="{FF2B5EF4-FFF2-40B4-BE49-F238E27FC236}">
              <a16:creationId xmlns:a16="http://schemas.microsoft.com/office/drawing/2014/main" id="{A8057D5F-6EB3-467E-B528-4B989A83E413}"/>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9</xdr:row>
      <xdr:rowOff>0</xdr:rowOff>
    </xdr:from>
    <xdr:ext cx="6350" cy="352425"/>
    <xdr:pic>
      <xdr:nvPicPr>
        <xdr:cNvPr id="93" name="รูปภาพ 92" descr="http://www.plan.lpru.ac.th/pod/isp/images/icon/coloricon/b4.png">
          <a:extLst>
            <a:ext uri="{FF2B5EF4-FFF2-40B4-BE49-F238E27FC236}">
              <a16:creationId xmlns:a16="http://schemas.microsoft.com/office/drawing/2014/main" id="{8F4CA81C-D62E-48C8-B8DD-4A49CEFF9D23}"/>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9</xdr:row>
      <xdr:rowOff>0</xdr:rowOff>
    </xdr:from>
    <xdr:ext cx="6350" cy="352425"/>
    <xdr:pic>
      <xdr:nvPicPr>
        <xdr:cNvPr id="94" name="รูปภาพ 93" descr="http://www.plan.lpru.ac.th/pod/isp/images/icon/coloricon/b5.png">
          <a:extLst>
            <a:ext uri="{FF2B5EF4-FFF2-40B4-BE49-F238E27FC236}">
              <a16:creationId xmlns:a16="http://schemas.microsoft.com/office/drawing/2014/main" id="{63F270E2-4784-46F3-87F5-F7F64692A724}"/>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10</xdr:row>
      <xdr:rowOff>3175</xdr:rowOff>
    </xdr:from>
    <xdr:ext cx="425450" cy="352425"/>
    <xdr:pic>
      <xdr:nvPicPr>
        <xdr:cNvPr id="95" name="รูปภาพ 94">
          <a:extLst>
            <a:ext uri="{FF2B5EF4-FFF2-40B4-BE49-F238E27FC236}">
              <a16:creationId xmlns:a16="http://schemas.microsoft.com/office/drawing/2014/main" id="{EEB88723-26E1-4BCD-B900-E2124024D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10</xdr:row>
      <xdr:rowOff>22225</xdr:rowOff>
    </xdr:from>
    <xdr:ext cx="431800" cy="352425"/>
    <xdr:pic>
      <xdr:nvPicPr>
        <xdr:cNvPr id="96" name="รูปภาพ 95">
          <a:extLst>
            <a:ext uri="{FF2B5EF4-FFF2-40B4-BE49-F238E27FC236}">
              <a16:creationId xmlns:a16="http://schemas.microsoft.com/office/drawing/2014/main" id="{7802CBC3-798A-4681-928E-5F913135F1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10</xdr:row>
      <xdr:rowOff>3175</xdr:rowOff>
    </xdr:from>
    <xdr:ext cx="428625" cy="352425"/>
    <xdr:pic>
      <xdr:nvPicPr>
        <xdr:cNvPr id="97" name="รูปภาพ 96">
          <a:extLst>
            <a:ext uri="{FF2B5EF4-FFF2-40B4-BE49-F238E27FC236}">
              <a16:creationId xmlns:a16="http://schemas.microsoft.com/office/drawing/2014/main" id="{56FB031E-D31B-43F3-8EAD-DC4B5C84E1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10</xdr:row>
      <xdr:rowOff>12700</xdr:rowOff>
    </xdr:from>
    <xdr:ext cx="431800" cy="352425"/>
    <xdr:pic>
      <xdr:nvPicPr>
        <xdr:cNvPr id="98" name="รูปภาพ 97">
          <a:extLst>
            <a:ext uri="{FF2B5EF4-FFF2-40B4-BE49-F238E27FC236}">
              <a16:creationId xmlns:a16="http://schemas.microsoft.com/office/drawing/2014/main" id="{3F818407-99A0-4FBA-AF54-90AF12D668D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10</xdr:row>
      <xdr:rowOff>12700</xdr:rowOff>
    </xdr:from>
    <xdr:ext cx="425450" cy="352425"/>
    <xdr:pic>
      <xdr:nvPicPr>
        <xdr:cNvPr id="99" name="รูปภาพ 98">
          <a:extLst>
            <a:ext uri="{FF2B5EF4-FFF2-40B4-BE49-F238E27FC236}">
              <a16:creationId xmlns:a16="http://schemas.microsoft.com/office/drawing/2014/main" id="{2E8D1CB1-D957-4519-94F5-6CE5014B03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11</xdr:row>
      <xdr:rowOff>3175</xdr:rowOff>
    </xdr:from>
    <xdr:ext cx="428625" cy="352425"/>
    <xdr:pic>
      <xdr:nvPicPr>
        <xdr:cNvPr id="100" name="รูปภาพ 99">
          <a:extLst>
            <a:ext uri="{FF2B5EF4-FFF2-40B4-BE49-F238E27FC236}">
              <a16:creationId xmlns:a16="http://schemas.microsoft.com/office/drawing/2014/main" id="{6C4E9C6E-4B23-4546-B687-616AFB20CF5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9</xdr:row>
      <xdr:rowOff>9525</xdr:rowOff>
    </xdr:from>
    <xdr:ext cx="428625" cy="352425"/>
    <xdr:pic>
      <xdr:nvPicPr>
        <xdr:cNvPr id="101" name="รูปภาพ 100">
          <a:extLst>
            <a:ext uri="{FF2B5EF4-FFF2-40B4-BE49-F238E27FC236}">
              <a16:creationId xmlns:a16="http://schemas.microsoft.com/office/drawing/2014/main" id="{C662CB53-D546-4686-8D0B-DDCB3B71BB7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12</xdr:row>
      <xdr:rowOff>0</xdr:rowOff>
    </xdr:from>
    <xdr:ext cx="0" cy="352425"/>
    <xdr:pic>
      <xdr:nvPicPr>
        <xdr:cNvPr id="102" name="รูปภาพ 101" descr="http://www.plan.lpru.ac.th/pod/isp/images/icon/coloricon/b1.png">
          <a:extLst>
            <a:ext uri="{FF2B5EF4-FFF2-40B4-BE49-F238E27FC236}">
              <a16:creationId xmlns:a16="http://schemas.microsoft.com/office/drawing/2014/main" id="{756C38AA-372C-4A8B-9663-FE29CA9D5C62}"/>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12</xdr:row>
      <xdr:rowOff>0</xdr:rowOff>
    </xdr:from>
    <xdr:ext cx="0" cy="352425"/>
    <xdr:pic>
      <xdr:nvPicPr>
        <xdr:cNvPr id="103" name="รูปภาพ 102" descr="http://www.plan.lpru.ac.th/pod/isp/images/icon/coloricon/b2.png">
          <a:extLst>
            <a:ext uri="{FF2B5EF4-FFF2-40B4-BE49-F238E27FC236}">
              <a16:creationId xmlns:a16="http://schemas.microsoft.com/office/drawing/2014/main" id="{17571D41-D9B9-486D-8DAC-FEC36A0DFA63}"/>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12</xdr:row>
      <xdr:rowOff>0</xdr:rowOff>
    </xdr:from>
    <xdr:ext cx="0" cy="352425"/>
    <xdr:pic>
      <xdr:nvPicPr>
        <xdr:cNvPr id="104" name="รูปภาพ 103" descr="http://www.plan.lpru.ac.th/pod/isp/images/icon/coloricon/b3.png">
          <a:extLst>
            <a:ext uri="{FF2B5EF4-FFF2-40B4-BE49-F238E27FC236}">
              <a16:creationId xmlns:a16="http://schemas.microsoft.com/office/drawing/2014/main" id="{547CF9F3-21BB-49F8-8326-4F5A8B1DA2E6}"/>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12</xdr:row>
      <xdr:rowOff>0</xdr:rowOff>
    </xdr:from>
    <xdr:ext cx="6350" cy="352425"/>
    <xdr:pic>
      <xdr:nvPicPr>
        <xdr:cNvPr id="105" name="รูปภาพ 104" descr="http://www.plan.lpru.ac.th/pod/isp/images/icon/coloricon/b4.png">
          <a:extLst>
            <a:ext uri="{FF2B5EF4-FFF2-40B4-BE49-F238E27FC236}">
              <a16:creationId xmlns:a16="http://schemas.microsoft.com/office/drawing/2014/main" id="{48C8B4BF-FA09-4FDB-B8C6-3CB9F6F2EA6D}"/>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12</xdr:row>
      <xdr:rowOff>0</xdr:rowOff>
    </xdr:from>
    <xdr:ext cx="6350" cy="352425"/>
    <xdr:pic>
      <xdr:nvPicPr>
        <xdr:cNvPr id="106" name="รูปภาพ 105" descr="http://www.plan.lpru.ac.th/pod/isp/images/icon/coloricon/b5.png">
          <a:extLst>
            <a:ext uri="{FF2B5EF4-FFF2-40B4-BE49-F238E27FC236}">
              <a16:creationId xmlns:a16="http://schemas.microsoft.com/office/drawing/2014/main" id="{AE73F5E5-669E-4F27-9A89-4C3B65E1BB7F}"/>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13</xdr:row>
      <xdr:rowOff>3175</xdr:rowOff>
    </xdr:from>
    <xdr:ext cx="425450" cy="352425"/>
    <xdr:pic>
      <xdr:nvPicPr>
        <xdr:cNvPr id="107" name="รูปภาพ 106">
          <a:extLst>
            <a:ext uri="{FF2B5EF4-FFF2-40B4-BE49-F238E27FC236}">
              <a16:creationId xmlns:a16="http://schemas.microsoft.com/office/drawing/2014/main" id="{153F3A08-7365-40CB-80A5-BA6F30816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13</xdr:row>
      <xdr:rowOff>22225</xdr:rowOff>
    </xdr:from>
    <xdr:ext cx="431800" cy="352425"/>
    <xdr:pic>
      <xdr:nvPicPr>
        <xdr:cNvPr id="108" name="รูปภาพ 107">
          <a:extLst>
            <a:ext uri="{FF2B5EF4-FFF2-40B4-BE49-F238E27FC236}">
              <a16:creationId xmlns:a16="http://schemas.microsoft.com/office/drawing/2014/main" id="{9E70CC9E-E8CA-436B-9979-BB55E59034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13</xdr:row>
      <xdr:rowOff>3175</xdr:rowOff>
    </xdr:from>
    <xdr:ext cx="428625" cy="352425"/>
    <xdr:pic>
      <xdr:nvPicPr>
        <xdr:cNvPr id="109" name="รูปภาพ 108">
          <a:extLst>
            <a:ext uri="{FF2B5EF4-FFF2-40B4-BE49-F238E27FC236}">
              <a16:creationId xmlns:a16="http://schemas.microsoft.com/office/drawing/2014/main" id="{FC7389A3-4048-481A-9AF4-E3741830FF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13</xdr:row>
      <xdr:rowOff>12700</xdr:rowOff>
    </xdr:from>
    <xdr:ext cx="431800" cy="352425"/>
    <xdr:pic>
      <xdr:nvPicPr>
        <xdr:cNvPr id="110" name="รูปภาพ 109">
          <a:extLst>
            <a:ext uri="{FF2B5EF4-FFF2-40B4-BE49-F238E27FC236}">
              <a16:creationId xmlns:a16="http://schemas.microsoft.com/office/drawing/2014/main" id="{3DA2A4D0-45E9-4310-ABEF-C6923964C64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13</xdr:row>
      <xdr:rowOff>12700</xdr:rowOff>
    </xdr:from>
    <xdr:ext cx="425450" cy="352425"/>
    <xdr:pic>
      <xdr:nvPicPr>
        <xdr:cNvPr id="111" name="รูปภาพ 110">
          <a:extLst>
            <a:ext uri="{FF2B5EF4-FFF2-40B4-BE49-F238E27FC236}">
              <a16:creationId xmlns:a16="http://schemas.microsoft.com/office/drawing/2014/main" id="{7AF9AF17-020A-4413-8EEC-ACBDA2C034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14</xdr:row>
      <xdr:rowOff>3175</xdr:rowOff>
    </xdr:from>
    <xdr:ext cx="428625" cy="352425"/>
    <xdr:pic>
      <xdr:nvPicPr>
        <xdr:cNvPr id="112" name="รูปภาพ 111">
          <a:extLst>
            <a:ext uri="{FF2B5EF4-FFF2-40B4-BE49-F238E27FC236}">
              <a16:creationId xmlns:a16="http://schemas.microsoft.com/office/drawing/2014/main" id="{A5D35075-A492-420F-BD11-D74015D148C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12</xdr:row>
      <xdr:rowOff>9525</xdr:rowOff>
    </xdr:from>
    <xdr:ext cx="428625" cy="352425"/>
    <xdr:pic>
      <xdr:nvPicPr>
        <xdr:cNvPr id="113" name="รูปภาพ 112">
          <a:extLst>
            <a:ext uri="{FF2B5EF4-FFF2-40B4-BE49-F238E27FC236}">
              <a16:creationId xmlns:a16="http://schemas.microsoft.com/office/drawing/2014/main" id="{FC3B129A-39BC-46AF-9F3D-7AA1E46D392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15</xdr:row>
      <xdr:rowOff>0</xdr:rowOff>
    </xdr:from>
    <xdr:ext cx="0" cy="352425"/>
    <xdr:pic>
      <xdr:nvPicPr>
        <xdr:cNvPr id="114" name="รูปภาพ 113" descr="http://www.plan.lpru.ac.th/pod/isp/images/icon/coloricon/b1.png">
          <a:extLst>
            <a:ext uri="{FF2B5EF4-FFF2-40B4-BE49-F238E27FC236}">
              <a16:creationId xmlns:a16="http://schemas.microsoft.com/office/drawing/2014/main" id="{1A0C2E1F-E3F1-4612-9650-23115D23C7C5}"/>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15</xdr:row>
      <xdr:rowOff>0</xdr:rowOff>
    </xdr:from>
    <xdr:ext cx="0" cy="352425"/>
    <xdr:pic>
      <xdr:nvPicPr>
        <xdr:cNvPr id="115" name="รูปภาพ 114" descr="http://www.plan.lpru.ac.th/pod/isp/images/icon/coloricon/b2.png">
          <a:extLst>
            <a:ext uri="{FF2B5EF4-FFF2-40B4-BE49-F238E27FC236}">
              <a16:creationId xmlns:a16="http://schemas.microsoft.com/office/drawing/2014/main" id="{B9168967-33D7-45CF-9AEC-90698DCF08B9}"/>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15</xdr:row>
      <xdr:rowOff>0</xdr:rowOff>
    </xdr:from>
    <xdr:ext cx="0" cy="352425"/>
    <xdr:pic>
      <xdr:nvPicPr>
        <xdr:cNvPr id="116" name="รูปภาพ 115" descr="http://www.plan.lpru.ac.th/pod/isp/images/icon/coloricon/b3.png">
          <a:extLst>
            <a:ext uri="{FF2B5EF4-FFF2-40B4-BE49-F238E27FC236}">
              <a16:creationId xmlns:a16="http://schemas.microsoft.com/office/drawing/2014/main" id="{E040A254-A2D0-4EEB-BFCC-B7D751440B80}"/>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15</xdr:row>
      <xdr:rowOff>0</xdr:rowOff>
    </xdr:from>
    <xdr:ext cx="6350" cy="352425"/>
    <xdr:pic>
      <xdr:nvPicPr>
        <xdr:cNvPr id="117" name="รูปภาพ 116" descr="http://www.plan.lpru.ac.th/pod/isp/images/icon/coloricon/b4.png">
          <a:extLst>
            <a:ext uri="{FF2B5EF4-FFF2-40B4-BE49-F238E27FC236}">
              <a16:creationId xmlns:a16="http://schemas.microsoft.com/office/drawing/2014/main" id="{EC23754A-4C80-4D65-87E8-41C6F2401772}"/>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15</xdr:row>
      <xdr:rowOff>0</xdr:rowOff>
    </xdr:from>
    <xdr:ext cx="6350" cy="352425"/>
    <xdr:pic>
      <xdr:nvPicPr>
        <xdr:cNvPr id="118" name="รูปภาพ 117" descr="http://www.plan.lpru.ac.th/pod/isp/images/icon/coloricon/b5.png">
          <a:extLst>
            <a:ext uri="{FF2B5EF4-FFF2-40B4-BE49-F238E27FC236}">
              <a16:creationId xmlns:a16="http://schemas.microsoft.com/office/drawing/2014/main" id="{37A40497-0851-40A4-B442-40D469F11B46}"/>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16</xdr:row>
      <xdr:rowOff>3175</xdr:rowOff>
    </xdr:from>
    <xdr:ext cx="425450" cy="352425"/>
    <xdr:pic>
      <xdr:nvPicPr>
        <xdr:cNvPr id="119" name="รูปภาพ 118">
          <a:extLst>
            <a:ext uri="{FF2B5EF4-FFF2-40B4-BE49-F238E27FC236}">
              <a16:creationId xmlns:a16="http://schemas.microsoft.com/office/drawing/2014/main" id="{6C947289-ED5F-45CB-889E-CB6D4C101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16</xdr:row>
      <xdr:rowOff>22225</xdr:rowOff>
    </xdr:from>
    <xdr:ext cx="431800" cy="352425"/>
    <xdr:pic>
      <xdr:nvPicPr>
        <xdr:cNvPr id="120" name="รูปภาพ 119">
          <a:extLst>
            <a:ext uri="{FF2B5EF4-FFF2-40B4-BE49-F238E27FC236}">
              <a16:creationId xmlns:a16="http://schemas.microsoft.com/office/drawing/2014/main" id="{42B7AD14-5D0A-4C07-80C6-C022142EC6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16</xdr:row>
      <xdr:rowOff>3175</xdr:rowOff>
    </xdr:from>
    <xdr:ext cx="428625" cy="352425"/>
    <xdr:pic>
      <xdr:nvPicPr>
        <xdr:cNvPr id="121" name="รูปภาพ 120">
          <a:extLst>
            <a:ext uri="{FF2B5EF4-FFF2-40B4-BE49-F238E27FC236}">
              <a16:creationId xmlns:a16="http://schemas.microsoft.com/office/drawing/2014/main" id="{9DB07BF5-A845-4F44-A6A9-BA482D3799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16</xdr:row>
      <xdr:rowOff>12700</xdr:rowOff>
    </xdr:from>
    <xdr:ext cx="431800" cy="352425"/>
    <xdr:pic>
      <xdr:nvPicPr>
        <xdr:cNvPr id="122" name="รูปภาพ 121">
          <a:extLst>
            <a:ext uri="{FF2B5EF4-FFF2-40B4-BE49-F238E27FC236}">
              <a16:creationId xmlns:a16="http://schemas.microsoft.com/office/drawing/2014/main" id="{C2AF882D-151F-4128-8ADD-F0BB88BA0BD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16</xdr:row>
      <xdr:rowOff>12700</xdr:rowOff>
    </xdr:from>
    <xdr:ext cx="425450" cy="352425"/>
    <xdr:pic>
      <xdr:nvPicPr>
        <xdr:cNvPr id="123" name="รูปภาพ 122">
          <a:extLst>
            <a:ext uri="{FF2B5EF4-FFF2-40B4-BE49-F238E27FC236}">
              <a16:creationId xmlns:a16="http://schemas.microsoft.com/office/drawing/2014/main" id="{0690DDF7-9C75-4430-8F9B-5119F8C3B4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17</xdr:row>
      <xdr:rowOff>3175</xdr:rowOff>
    </xdr:from>
    <xdr:ext cx="428625" cy="352425"/>
    <xdr:pic>
      <xdr:nvPicPr>
        <xdr:cNvPr id="124" name="รูปภาพ 123">
          <a:extLst>
            <a:ext uri="{FF2B5EF4-FFF2-40B4-BE49-F238E27FC236}">
              <a16:creationId xmlns:a16="http://schemas.microsoft.com/office/drawing/2014/main" id="{6909D038-FB67-4D13-9FB8-BB8B189B30C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15</xdr:row>
      <xdr:rowOff>9525</xdr:rowOff>
    </xdr:from>
    <xdr:ext cx="428625" cy="352425"/>
    <xdr:pic>
      <xdr:nvPicPr>
        <xdr:cNvPr id="125" name="รูปภาพ 124">
          <a:extLst>
            <a:ext uri="{FF2B5EF4-FFF2-40B4-BE49-F238E27FC236}">
              <a16:creationId xmlns:a16="http://schemas.microsoft.com/office/drawing/2014/main" id="{672CD6FF-0392-4934-B224-0EACDEAB677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18</xdr:row>
      <xdr:rowOff>0</xdr:rowOff>
    </xdr:from>
    <xdr:ext cx="0" cy="352425"/>
    <xdr:pic>
      <xdr:nvPicPr>
        <xdr:cNvPr id="126" name="รูปภาพ 125" descr="http://www.plan.lpru.ac.th/pod/isp/images/icon/coloricon/b1.png">
          <a:extLst>
            <a:ext uri="{FF2B5EF4-FFF2-40B4-BE49-F238E27FC236}">
              <a16:creationId xmlns:a16="http://schemas.microsoft.com/office/drawing/2014/main" id="{34D35C2F-78CE-48F7-8E9F-5E0E60F9FE24}"/>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18</xdr:row>
      <xdr:rowOff>0</xdr:rowOff>
    </xdr:from>
    <xdr:ext cx="0" cy="352425"/>
    <xdr:pic>
      <xdr:nvPicPr>
        <xdr:cNvPr id="127" name="รูปภาพ 126" descr="http://www.plan.lpru.ac.th/pod/isp/images/icon/coloricon/b2.png">
          <a:extLst>
            <a:ext uri="{FF2B5EF4-FFF2-40B4-BE49-F238E27FC236}">
              <a16:creationId xmlns:a16="http://schemas.microsoft.com/office/drawing/2014/main" id="{32D09248-7D4A-4298-8BB2-E2A4040ED0B1}"/>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18</xdr:row>
      <xdr:rowOff>0</xdr:rowOff>
    </xdr:from>
    <xdr:ext cx="0" cy="352425"/>
    <xdr:pic>
      <xdr:nvPicPr>
        <xdr:cNvPr id="128" name="รูปภาพ 127" descr="http://www.plan.lpru.ac.th/pod/isp/images/icon/coloricon/b3.png">
          <a:extLst>
            <a:ext uri="{FF2B5EF4-FFF2-40B4-BE49-F238E27FC236}">
              <a16:creationId xmlns:a16="http://schemas.microsoft.com/office/drawing/2014/main" id="{A3C00167-E0D2-45B9-8282-C90844362E14}"/>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18</xdr:row>
      <xdr:rowOff>0</xdr:rowOff>
    </xdr:from>
    <xdr:ext cx="6350" cy="352425"/>
    <xdr:pic>
      <xdr:nvPicPr>
        <xdr:cNvPr id="129" name="รูปภาพ 128" descr="http://www.plan.lpru.ac.th/pod/isp/images/icon/coloricon/b4.png">
          <a:extLst>
            <a:ext uri="{FF2B5EF4-FFF2-40B4-BE49-F238E27FC236}">
              <a16:creationId xmlns:a16="http://schemas.microsoft.com/office/drawing/2014/main" id="{AED613DF-DB05-409C-8461-FC789E2F43A4}"/>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18</xdr:row>
      <xdr:rowOff>0</xdr:rowOff>
    </xdr:from>
    <xdr:ext cx="6350" cy="352425"/>
    <xdr:pic>
      <xdr:nvPicPr>
        <xdr:cNvPr id="130" name="รูปภาพ 129" descr="http://www.plan.lpru.ac.th/pod/isp/images/icon/coloricon/b5.png">
          <a:extLst>
            <a:ext uri="{FF2B5EF4-FFF2-40B4-BE49-F238E27FC236}">
              <a16:creationId xmlns:a16="http://schemas.microsoft.com/office/drawing/2014/main" id="{453F0B3E-4F11-46D8-AD08-7ECB9945039E}"/>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19</xdr:row>
      <xdr:rowOff>3175</xdr:rowOff>
    </xdr:from>
    <xdr:ext cx="425450" cy="352425"/>
    <xdr:pic>
      <xdr:nvPicPr>
        <xdr:cNvPr id="131" name="รูปภาพ 130">
          <a:extLst>
            <a:ext uri="{FF2B5EF4-FFF2-40B4-BE49-F238E27FC236}">
              <a16:creationId xmlns:a16="http://schemas.microsoft.com/office/drawing/2014/main" id="{8E191DDE-E0D8-45AD-B0E6-CDA1DAEDC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19</xdr:row>
      <xdr:rowOff>22225</xdr:rowOff>
    </xdr:from>
    <xdr:ext cx="431800" cy="352425"/>
    <xdr:pic>
      <xdr:nvPicPr>
        <xdr:cNvPr id="132" name="รูปภาพ 131">
          <a:extLst>
            <a:ext uri="{FF2B5EF4-FFF2-40B4-BE49-F238E27FC236}">
              <a16:creationId xmlns:a16="http://schemas.microsoft.com/office/drawing/2014/main" id="{744A5CE9-E70B-4397-A7D7-013C754852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19</xdr:row>
      <xdr:rowOff>3175</xdr:rowOff>
    </xdr:from>
    <xdr:ext cx="428625" cy="352425"/>
    <xdr:pic>
      <xdr:nvPicPr>
        <xdr:cNvPr id="133" name="รูปภาพ 132">
          <a:extLst>
            <a:ext uri="{FF2B5EF4-FFF2-40B4-BE49-F238E27FC236}">
              <a16:creationId xmlns:a16="http://schemas.microsoft.com/office/drawing/2014/main" id="{6A2A8C04-404E-497D-9370-D45A248F47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19</xdr:row>
      <xdr:rowOff>12700</xdr:rowOff>
    </xdr:from>
    <xdr:ext cx="431800" cy="352425"/>
    <xdr:pic>
      <xdr:nvPicPr>
        <xdr:cNvPr id="134" name="รูปภาพ 133">
          <a:extLst>
            <a:ext uri="{FF2B5EF4-FFF2-40B4-BE49-F238E27FC236}">
              <a16:creationId xmlns:a16="http://schemas.microsoft.com/office/drawing/2014/main" id="{3B0021A6-78B1-4CDE-8D09-ECEC5203B3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19</xdr:row>
      <xdr:rowOff>12700</xdr:rowOff>
    </xdr:from>
    <xdr:ext cx="425450" cy="352425"/>
    <xdr:pic>
      <xdr:nvPicPr>
        <xdr:cNvPr id="135" name="รูปภาพ 134">
          <a:extLst>
            <a:ext uri="{FF2B5EF4-FFF2-40B4-BE49-F238E27FC236}">
              <a16:creationId xmlns:a16="http://schemas.microsoft.com/office/drawing/2014/main" id="{AA017F48-D68C-4CFB-96D8-245966A212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20</xdr:row>
      <xdr:rowOff>3175</xdr:rowOff>
    </xdr:from>
    <xdr:ext cx="428625" cy="352425"/>
    <xdr:pic>
      <xdr:nvPicPr>
        <xdr:cNvPr id="136" name="รูปภาพ 135">
          <a:extLst>
            <a:ext uri="{FF2B5EF4-FFF2-40B4-BE49-F238E27FC236}">
              <a16:creationId xmlns:a16="http://schemas.microsoft.com/office/drawing/2014/main" id="{75BF2333-1A37-44DB-ADD3-B3312C7B01F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18</xdr:row>
      <xdr:rowOff>9525</xdr:rowOff>
    </xdr:from>
    <xdr:ext cx="428625" cy="352425"/>
    <xdr:pic>
      <xdr:nvPicPr>
        <xdr:cNvPr id="137" name="รูปภาพ 136">
          <a:extLst>
            <a:ext uri="{FF2B5EF4-FFF2-40B4-BE49-F238E27FC236}">
              <a16:creationId xmlns:a16="http://schemas.microsoft.com/office/drawing/2014/main" id="{7E520A45-6CAD-4917-BBDB-5511C43D63E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21</xdr:row>
      <xdr:rowOff>0</xdr:rowOff>
    </xdr:from>
    <xdr:ext cx="0" cy="352425"/>
    <xdr:pic>
      <xdr:nvPicPr>
        <xdr:cNvPr id="138" name="รูปภาพ 137" descr="http://www.plan.lpru.ac.th/pod/isp/images/icon/coloricon/b1.png">
          <a:extLst>
            <a:ext uri="{FF2B5EF4-FFF2-40B4-BE49-F238E27FC236}">
              <a16:creationId xmlns:a16="http://schemas.microsoft.com/office/drawing/2014/main" id="{B845072A-2800-4FD9-8ADE-ED66DF7DEA84}"/>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21</xdr:row>
      <xdr:rowOff>0</xdr:rowOff>
    </xdr:from>
    <xdr:ext cx="0" cy="352425"/>
    <xdr:pic>
      <xdr:nvPicPr>
        <xdr:cNvPr id="139" name="รูปภาพ 138" descr="http://www.plan.lpru.ac.th/pod/isp/images/icon/coloricon/b2.png">
          <a:extLst>
            <a:ext uri="{FF2B5EF4-FFF2-40B4-BE49-F238E27FC236}">
              <a16:creationId xmlns:a16="http://schemas.microsoft.com/office/drawing/2014/main" id="{B66E12F2-2E0B-403F-8543-CE60012909A2}"/>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21</xdr:row>
      <xdr:rowOff>0</xdr:rowOff>
    </xdr:from>
    <xdr:ext cx="0" cy="352425"/>
    <xdr:pic>
      <xdr:nvPicPr>
        <xdr:cNvPr id="140" name="รูปภาพ 139" descr="http://www.plan.lpru.ac.th/pod/isp/images/icon/coloricon/b3.png">
          <a:extLst>
            <a:ext uri="{FF2B5EF4-FFF2-40B4-BE49-F238E27FC236}">
              <a16:creationId xmlns:a16="http://schemas.microsoft.com/office/drawing/2014/main" id="{C4564613-5395-4407-989B-3A64EB02C66A}"/>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21</xdr:row>
      <xdr:rowOff>0</xdr:rowOff>
    </xdr:from>
    <xdr:ext cx="6350" cy="352425"/>
    <xdr:pic>
      <xdr:nvPicPr>
        <xdr:cNvPr id="141" name="รูปภาพ 140" descr="http://www.plan.lpru.ac.th/pod/isp/images/icon/coloricon/b4.png">
          <a:extLst>
            <a:ext uri="{FF2B5EF4-FFF2-40B4-BE49-F238E27FC236}">
              <a16:creationId xmlns:a16="http://schemas.microsoft.com/office/drawing/2014/main" id="{86E1771C-1654-4CCA-A8B0-1D396766FFE5}"/>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21</xdr:row>
      <xdr:rowOff>0</xdr:rowOff>
    </xdr:from>
    <xdr:ext cx="6350" cy="352425"/>
    <xdr:pic>
      <xdr:nvPicPr>
        <xdr:cNvPr id="142" name="รูปภาพ 141" descr="http://www.plan.lpru.ac.th/pod/isp/images/icon/coloricon/b5.png">
          <a:extLst>
            <a:ext uri="{FF2B5EF4-FFF2-40B4-BE49-F238E27FC236}">
              <a16:creationId xmlns:a16="http://schemas.microsoft.com/office/drawing/2014/main" id="{0C9F4E64-CF7F-49FB-BB88-507797EBC4C3}"/>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22</xdr:row>
      <xdr:rowOff>3175</xdr:rowOff>
    </xdr:from>
    <xdr:ext cx="425450" cy="352425"/>
    <xdr:pic>
      <xdr:nvPicPr>
        <xdr:cNvPr id="143" name="รูปภาพ 142">
          <a:extLst>
            <a:ext uri="{FF2B5EF4-FFF2-40B4-BE49-F238E27FC236}">
              <a16:creationId xmlns:a16="http://schemas.microsoft.com/office/drawing/2014/main" id="{D951D445-EFB4-477F-943B-450B20059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22</xdr:row>
      <xdr:rowOff>22225</xdr:rowOff>
    </xdr:from>
    <xdr:ext cx="431800" cy="352425"/>
    <xdr:pic>
      <xdr:nvPicPr>
        <xdr:cNvPr id="144" name="รูปภาพ 143">
          <a:extLst>
            <a:ext uri="{FF2B5EF4-FFF2-40B4-BE49-F238E27FC236}">
              <a16:creationId xmlns:a16="http://schemas.microsoft.com/office/drawing/2014/main" id="{BAECC43C-DED1-4719-9BE7-58DCF6A401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22</xdr:row>
      <xdr:rowOff>3175</xdr:rowOff>
    </xdr:from>
    <xdr:ext cx="428625" cy="352425"/>
    <xdr:pic>
      <xdr:nvPicPr>
        <xdr:cNvPr id="145" name="รูปภาพ 144">
          <a:extLst>
            <a:ext uri="{FF2B5EF4-FFF2-40B4-BE49-F238E27FC236}">
              <a16:creationId xmlns:a16="http://schemas.microsoft.com/office/drawing/2014/main" id="{0890B0F5-0A2A-459F-A252-07F49A41AA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22</xdr:row>
      <xdr:rowOff>12700</xdr:rowOff>
    </xdr:from>
    <xdr:ext cx="431800" cy="352425"/>
    <xdr:pic>
      <xdr:nvPicPr>
        <xdr:cNvPr id="146" name="รูปภาพ 145">
          <a:extLst>
            <a:ext uri="{FF2B5EF4-FFF2-40B4-BE49-F238E27FC236}">
              <a16:creationId xmlns:a16="http://schemas.microsoft.com/office/drawing/2014/main" id="{644D415E-BC69-476B-812E-DF48F005FED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22</xdr:row>
      <xdr:rowOff>12700</xdr:rowOff>
    </xdr:from>
    <xdr:ext cx="425450" cy="352425"/>
    <xdr:pic>
      <xdr:nvPicPr>
        <xdr:cNvPr id="147" name="รูปภาพ 146">
          <a:extLst>
            <a:ext uri="{FF2B5EF4-FFF2-40B4-BE49-F238E27FC236}">
              <a16:creationId xmlns:a16="http://schemas.microsoft.com/office/drawing/2014/main" id="{9D676968-FCF3-49BC-AA77-4A1B7F6AA0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23</xdr:row>
      <xdr:rowOff>3175</xdr:rowOff>
    </xdr:from>
    <xdr:ext cx="428625" cy="352425"/>
    <xdr:pic>
      <xdr:nvPicPr>
        <xdr:cNvPr id="148" name="รูปภาพ 147">
          <a:extLst>
            <a:ext uri="{FF2B5EF4-FFF2-40B4-BE49-F238E27FC236}">
              <a16:creationId xmlns:a16="http://schemas.microsoft.com/office/drawing/2014/main" id="{4C1BC970-CB53-4B45-82FB-2127F4CB60A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21</xdr:row>
      <xdr:rowOff>9525</xdr:rowOff>
    </xdr:from>
    <xdr:ext cx="428625" cy="352425"/>
    <xdr:pic>
      <xdr:nvPicPr>
        <xdr:cNvPr id="149" name="รูปภาพ 148">
          <a:extLst>
            <a:ext uri="{FF2B5EF4-FFF2-40B4-BE49-F238E27FC236}">
              <a16:creationId xmlns:a16="http://schemas.microsoft.com/office/drawing/2014/main" id="{AE1A8FAD-E960-4D9B-A8CD-EACDBBB9EDA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24</xdr:row>
      <xdr:rowOff>0</xdr:rowOff>
    </xdr:from>
    <xdr:ext cx="0" cy="352425"/>
    <xdr:pic>
      <xdr:nvPicPr>
        <xdr:cNvPr id="150" name="รูปภาพ 149" descr="http://www.plan.lpru.ac.th/pod/isp/images/icon/coloricon/b1.png">
          <a:extLst>
            <a:ext uri="{FF2B5EF4-FFF2-40B4-BE49-F238E27FC236}">
              <a16:creationId xmlns:a16="http://schemas.microsoft.com/office/drawing/2014/main" id="{932C9E24-C562-42CB-8D86-503592870437}"/>
            </a:ext>
          </a:extLst>
        </xdr:cNvPr>
        <xdr:cNvPicPr/>
      </xdr:nvPicPr>
      <xdr:blipFill>
        <a:blip xmlns:r="http://schemas.openxmlformats.org/officeDocument/2006/relationships" r:embed="rId1"/>
        <a:srcRect/>
        <a:stretch>
          <a:fillRect/>
        </a:stretch>
      </xdr:blipFill>
      <xdr:spPr bwMode="auto">
        <a:xfrm>
          <a:off x="1076325" y="0"/>
          <a:ext cx="0" cy="352425"/>
        </a:xfrm>
        <a:prstGeom prst="rect">
          <a:avLst/>
        </a:prstGeom>
        <a:noFill/>
        <a:ln w="9525">
          <a:noFill/>
          <a:miter lim="800000"/>
          <a:headEnd/>
          <a:tailEnd/>
        </a:ln>
      </xdr:spPr>
    </xdr:pic>
    <xdr:clientData/>
  </xdr:oneCellAnchor>
  <xdr:oneCellAnchor>
    <xdr:from>
      <xdr:col>0</xdr:col>
      <xdr:colOff>2019300</xdr:colOff>
      <xdr:row>24</xdr:row>
      <xdr:rowOff>0</xdr:rowOff>
    </xdr:from>
    <xdr:ext cx="0" cy="352425"/>
    <xdr:pic>
      <xdr:nvPicPr>
        <xdr:cNvPr id="151" name="รูปภาพ 150" descr="http://www.plan.lpru.ac.th/pod/isp/images/icon/coloricon/b2.png">
          <a:extLst>
            <a:ext uri="{FF2B5EF4-FFF2-40B4-BE49-F238E27FC236}">
              <a16:creationId xmlns:a16="http://schemas.microsoft.com/office/drawing/2014/main" id="{E7069E8A-0D31-49F9-A956-F5CE1ED1175B}"/>
            </a:ext>
          </a:extLst>
        </xdr:cNvPr>
        <xdr:cNvPicPr/>
      </xdr:nvPicPr>
      <xdr:blipFill>
        <a:blip xmlns:r="http://schemas.openxmlformats.org/officeDocument/2006/relationships" r:embed="rId2"/>
        <a:srcRect/>
        <a:stretch>
          <a:fillRect/>
        </a:stretch>
      </xdr:blipFill>
      <xdr:spPr bwMode="auto">
        <a:xfrm>
          <a:off x="2019300" y="0"/>
          <a:ext cx="0" cy="352425"/>
        </a:xfrm>
        <a:prstGeom prst="rect">
          <a:avLst/>
        </a:prstGeom>
        <a:noFill/>
        <a:ln w="9525">
          <a:noFill/>
          <a:miter lim="800000"/>
          <a:headEnd/>
          <a:tailEnd/>
        </a:ln>
      </xdr:spPr>
    </xdr:pic>
    <xdr:clientData/>
  </xdr:oneCellAnchor>
  <xdr:oneCellAnchor>
    <xdr:from>
      <xdr:col>0</xdr:col>
      <xdr:colOff>3143250</xdr:colOff>
      <xdr:row>24</xdr:row>
      <xdr:rowOff>0</xdr:rowOff>
    </xdr:from>
    <xdr:ext cx="0" cy="352425"/>
    <xdr:pic>
      <xdr:nvPicPr>
        <xdr:cNvPr id="152" name="รูปภาพ 151" descr="http://www.plan.lpru.ac.th/pod/isp/images/icon/coloricon/b3.png">
          <a:extLst>
            <a:ext uri="{FF2B5EF4-FFF2-40B4-BE49-F238E27FC236}">
              <a16:creationId xmlns:a16="http://schemas.microsoft.com/office/drawing/2014/main" id="{DE85B379-CD5F-44BE-B425-DEA0F7AE9F15}"/>
            </a:ext>
          </a:extLst>
        </xdr:cNvPr>
        <xdr:cNvPicPr/>
      </xdr:nvPicPr>
      <xdr:blipFill>
        <a:blip xmlns:r="http://schemas.openxmlformats.org/officeDocument/2006/relationships" r:embed="rId3"/>
        <a:srcRect/>
        <a:stretch>
          <a:fillRect/>
        </a:stretch>
      </xdr:blipFill>
      <xdr:spPr bwMode="auto">
        <a:xfrm>
          <a:off x="3143250" y="0"/>
          <a:ext cx="0" cy="352425"/>
        </a:xfrm>
        <a:prstGeom prst="rect">
          <a:avLst/>
        </a:prstGeom>
        <a:noFill/>
        <a:ln w="9525">
          <a:noFill/>
          <a:miter lim="800000"/>
          <a:headEnd/>
          <a:tailEnd/>
        </a:ln>
      </xdr:spPr>
    </xdr:pic>
    <xdr:clientData/>
  </xdr:oneCellAnchor>
  <xdr:oneCellAnchor>
    <xdr:from>
      <xdr:col>0</xdr:col>
      <xdr:colOff>4324350</xdr:colOff>
      <xdr:row>24</xdr:row>
      <xdr:rowOff>0</xdr:rowOff>
    </xdr:from>
    <xdr:ext cx="6350" cy="352425"/>
    <xdr:pic>
      <xdr:nvPicPr>
        <xdr:cNvPr id="153" name="รูปภาพ 152" descr="http://www.plan.lpru.ac.th/pod/isp/images/icon/coloricon/b4.png">
          <a:extLst>
            <a:ext uri="{FF2B5EF4-FFF2-40B4-BE49-F238E27FC236}">
              <a16:creationId xmlns:a16="http://schemas.microsoft.com/office/drawing/2014/main" id="{3DBC4AF8-C4BE-4D6F-9DFF-0ED46CD2196D}"/>
            </a:ext>
          </a:extLst>
        </xdr:cNvPr>
        <xdr:cNvPicPr/>
      </xdr:nvPicPr>
      <xdr:blipFill>
        <a:blip xmlns:r="http://schemas.openxmlformats.org/officeDocument/2006/relationships" r:embed="rId4"/>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0</xdr:col>
      <xdr:colOff>5438775</xdr:colOff>
      <xdr:row>24</xdr:row>
      <xdr:rowOff>0</xdr:rowOff>
    </xdr:from>
    <xdr:ext cx="6350" cy="352425"/>
    <xdr:pic>
      <xdr:nvPicPr>
        <xdr:cNvPr id="154" name="รูปภาพ 153" descr="http://www.plan.lpru.ac.th/pod/isp/images/icon/coloricon/b5.png">
          <a:extLst>
            <a:ext uri="{FF2B5EF4-FFF2-40B4-BE49-F238E27FC236}">
              <a16:creationId xmlns:a16="http://schemas.microsoft.com/office/drawing/2014/main" id="{35B8E6A3-C918-4666-A846-890354D52598}"/>
            </a:ext>
          </a:extLst>
        </xdr:cNvPr>
        <xdr:cNvPicPr/>
      </xdr:nvPicPr>
      <xdr:blipFill>
        <a:blip xmlns:r="http://schemas.openxmlformats.org/officeDocument/2006/relationships" r:embed="rId5"/>
        <a:srcRect/>
        <a:stretch>
          <a:fillRect/>
        </a:stretch>
      </xdr:blipFill>
      <xdr:spPr bwMode="auto">
        <a:xfrm>
          <a:off x="3924300" y="0"/>
          <a:ext cx="6350" cy="352425"/>
        </a:xfrm>
        <a:prstGeom prst="rect">
          <a:avLst/>
        </a:prstGeom>
        <a:noFill/>
        <a:ln w="9525">
          <a:noFill/>
          <a:miter lim="800000"/>
          <a:headEnd/>
          <a:tailEnd/>
        </a:ln>
      </xdr:spPr>
    </xdr:pic>
    <xdr:clientData/>
  </xdr:oneCellAnchor>
  <xdr:oneCellAnchor>
    <xdr:from>
      <xdr:col>1</xdr:col>
      <xdr:colOff>819150</xdr:colOff>
      <xdr:row>25</xdr:row>
      <xdr:rowOff>3175</xdr:rowOff>
    </xdr:from>
    <xdr:ext cx="425450" cy="352425"/>
    <xdr:pic>
      <xdr:nvPicPr>
        <xdr:cNvPr id="155" name="รูปภาพ 154">
          <a:extLst>
            <a:ext uri="{FF2B5EF4-FFF2-40B4-BE49-F238E27FC236}">
              <a16:creationId xmlns:a16="http://schemas.microsoft.com/office/drawing/2014/main" id="{AF621461-FB6F-4E18-9B90-32BA89F1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7465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25</xdr:row>
      <xdr:rowOff>22225</xdr:rowOff>
    </xdr:from>
    <xdr:ext cx="431800" cy="352425"/>
    <xdr:pic>
      <xdr:nvPicPr>
        <xdr:cNvPr id="156" name="รูปภาพ 155">
          <a:extLst>
            <a:ext uri="{FF2B5EF4-FFF2-40B4-BE49-F238E27FC236}">
              <a16:creationId xmlns:a16="http://schemas.microsoft.com/office/drawing/2014/main" id="{C2446868-95BD-4D8B-A202-F5BDC623EA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0375" y="393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25</xdr:row>
      <xdr:rowOff>3175</xdr:rowOff>
    </xdr:from>
    <xdr:ext cx="428625" cy="352425"/>
    <xdr:pic>
      <xdr:nvPicPr>
        <xdr:cNvPr id="157" name="รูปภาพ 156">
          <a:extLst>
            <a:ext uri="{FF2B5EF4-FFF2-40B4-BE49-F238E27FC236}">
              <a16:creationId xmlns:a16="http://schemas.microsoft.com/office/drawing/2014/main" id="{A81FCD44-B8F1-4A0E-94C9-4958775874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374650"/>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25</xdr:row>
      <xdr:rowOff>12700</xdr:rowOff>
    </xdr:from>
    <xdr:ext cx="431800" cy="352425"/>
    <xdr:pic>
      <xdr:nvPicPr>
        <xdr:cNvPr id="158" name="รูปภาพ 157">
          <a:extLst>
            <a:ext uri="{FF2B5EF4-FFF2-40B4-BE49-F238E27FC236}">
              <a16:creationId xmlns:a16="http://schemas.microsoft.com/office/drawing/2014/main" id="{69E47D94-BF79-4641-933B-8D761F1ED2E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05675" y="38417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25</xdr:row>
      <xdr:rowOff>12700</xdr:rowOff>
    </xdr:from>
    <xdr:ext cx="425450" cy="352425"/>
    <xdr:pic>
      <xdr:nvPicPr>
        <xdr:cNvPr id="159" name="รูปภาพ 158">
          <a:extLst>
            <a:ext uri="{FF2B5EF4-FFF2-40B4-BE49-F238E27FC236}">
              <a16:creationId xmlns:a16="http://schemas.microsoft.com/office/drawing/2014/main" id="{C82A3C91-8763-4951-845C-6082138EE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77225" y="384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26</xdr:row>
      <xdr:rowOff>3175</xdr:rowOff>
    </xdr:from>
    <xdr:ext cx="428625" cy="352425"/>
    <xdr:pic>
      <xdr:nvPicPr>
        <xdr:cNvPr id="160" name="รูปภาพ 159">
          <a:extLst>
            <a:ext uri="{FF2B5EF4-FFF2-40B4-BE49-F238E27FC236}">
              <a16:creationId xmlns:a16="http://schemas.microsoft.com/office/drawing/2014/main" id="{2C47673D-2B45-4A60-A187-7EA2CA0AB71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7461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24</xdr:row>
      <xdr:rowOff>9525</xdr:rowOff>
    </xdr:from>
    <xdr:ext cx="428625" cy="352425"/>
    <xdr:pic>
      <xdr:nvPicPr>
        <xdr:cNvPr id="161" name="รูปภาพ 160">
          <a:extLst>
            <a:ext uri="{FF2B5EF4-FFF2-40B4-BE49-F238E27FC236}">
              <a16:creationId xmlns:a16="http://schemas.microsoft.com/office/drawing/2014/main" id="{3C075C65-7BAD-4E66-826C-C5ACCEC720E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0" y="9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27</xdr:row>
      <xdr:rowOff>0</xdr:rowOff>
    </xdr:from>
    <xdr:ext cx="0" cy="352425"/>
    <xdr:pic>
      <xdr:nvPicPr>
        <xdr:cNvPr id="162" name="รูปภาพ 161" descr="http://www.plan.lpru.ac.th/pod/isp/images/icon/coloricon/b1.png">
          <a:extLst>
            <a:ext uri="{FF2B5EF4-FFF2-40B4-BE49-F238E27FC236}">
              <a16:creationId xmlns:a16="http://schemas.microsoft.com/office/drawing/2014/main" id="{8E2A2648-737B-4AF8-A807-5B1CE94718E0}"/>
            </a:ext>
          </a:extLst>
        </xdr:cNvPr>
        <xdr:cNvPicPr/>
      </xdr:nvPicPr>
      <xdr:blipFill>
        <a:blip xmlns:r="http://schemas.openxmlformats.org/officeDocument/2006/relationships" r:embed="rId1"/>
        <a:srcRect/>
        <a:stretch>
          <a:fillRect/>
        </a:stretch>
      </xdr:blipFill>
      <xdr:spPr bwMode="auto">
        <a:xfrm>
          <a:off x="1076325" y="9144000"/>
          <a:ext cx="0" cy="352425"/>
        </a:xfrm>
        <a:prstGeom prst="rect">
          <a:avLst/>
        </a:prstGeom>
        <a:noFill/>
        <a:ln w="9525">
          <a:noFill/>
          <a:miter lim="800000"/>
          <a:headEnd/>
          <a:tailEnd/>
        </a:ln>
      </xdr:spPr>
    </xdr:pic>
    <xdr:clientData/>
  </xdr:oneCellAnchor>
  <xdr:oneCellAnchor>
    <xdr:from>
      <xdr:col>0</xdr:col>
      <xdr:colOff>2019300</xdr:colOff>
      <xdr:row>27</xdr:row>
      <xdr:rowOff>0</xdr:rowOff>
    </xdr:from>
    <xdr:ext cx="0" cy="352425"/>
    <xdr:pic>
      <xdr:nvPicPr>
        <xdr:cNvPr id="163" name="รูปภาพ 162" descr="http://www.plan.lpru.ac.th/pod/isp/images/icon/coloricon/b2.png">
          <a:extLst>
            <a:ext uri="{FF2B5EF4-FFF2-40B4-BE49-F238E27FC236}">
              <a16:creationId xmlns:a16="http://schemas.microsoft.com/office/drawing/2014/main" id="{1AAF2473-86DB-4C96-AFD1-B5CAEA9A836B}"/>
            </a:ext>
          </a:extLst>
        </xdr:cNvPr>
        <xdr:cNvPicPr/>
      </xdr:nvPicPr>
      <xdr:blipFill>
        <a:blip xmlns:r="http://schemas.openxmlformats.org/officeDocument/2006/relationships" r:embed="rId2"/>
        <a:srcRect/>
        <a:stretch>
          <a:fillRect/>
        </a:stretch>
      </xdr:blipFill>
      <xdr:spPr bwMode="auto">
        <a:xfrm>
          <a:off x="2019300" y="9144000"/>
          <a:ext cx="0" cy="352425"/>
        </a:xfrm>
        <a:prstGeom prst="rect">
          <a:avLst/>
        </a:prstGeom>
        <a:noFill/>
        <a:ln w="9525">
          <a:noFill/>
          <a:miter lim="800000"/>
          <a:headEnd/>
          <a:tailEnd/>
        </a:ln>
      </xdr:spPr>
    </xdr:pic>
    <xdr:clientData/>
  </xdr:oneCellAnchor>
  <xdr:oneCellAnchor>
    <xdr:from>
      <xdr:col>0</xdr:col>
      <xdr:colOff>3143250</xdr:colOff>
      <xdr:row>27</xdr:row>
      <xdr:rowOff>0</xdr:rowOff>
    </xdr:from>
    <xdr:ext cx="0" cy="352425"/>
    <xdr:pic>
      <xdr:nvPicPr>
        <xdr:cNvPr id="164" name="รูปภาพ 163" descr="http://www.plan.lpru.ac.th/pod/isp/images/icon/coloricon/b3.png">
          <a:extLst>
            <a:ext uri="{FF2B5EF4-FFF2-40B4-BE49-F238E27FC236}">
              <a16:creationId xmlns:a16="http://schemas.microsoft.com/office/drawing/2014/main" id="{456A80F1-31F9-4995-8443-70A32C3AA452}"/>
            </a:ext>
          </a:extLst>
        </xdr:cNvPr>
        <xdr:cNvPicPr/>
      </xdr:nvPicPr>
      <xdr:blipFill>
        <a:blip xmlns:r="http://schemas.openxmlformats.org/officeDocument/2006/relationships" r:embed="rId3"/>
        <a:srcRect/>
        <a:stretch>
          <a:fillRect/>
        </a:stretch>
      </xdr:blipFill>
      <xdr:spPr bwMode="auto">
        <a:xfrm>
          <a:off x="3143250" y="9144000"/>
          <a:ext cx="0" cy="352425"/>
        </a:xfrm>
        <a:prstGeom prst="rect">
          <a:avLst/>
        </a:prstGeom>
        <a:noFill/>
        <a:ln w="9525">
          <a:noFill/>
          <a:miter lim="800000"/>
          <a:headEnd/>
          <a:tailEnd/>
        </a:ln>
      </xdr:spPr>
    </xdr:pic>
    <xdr:clientData/>
  </xdr:oneCellAnchor>
  <xdr:oneCellAnchor>
    <xdr:from>
      <xdr:col>0</xdr:col>
      <xdr:colOff>4324350</xdr:colOff>
      <xdr:row>27</xdr:row>
      <xdr:rowOff>0</xdr:rowOff>
    </xdr:from>
    <xdr:ext cx="6350" cy="352425"/>
    <xdr:pic>
      <xdr:nvPicPr>
        <xdr:cNvPr id="165" name="รูปภาพ 164" descr="http://www.plan.lpru.ac.th/pod/isp/images/icon/coloricon/b4.png">
          <a:extLst>
            <a:ext uri="{FF2B5EF4-FFF2-40B4-BE49-F238E27FC236}">
              <a16:creationId xmlns:a16="http://schemas.microsoft.com/office/drawing/2014/main" id="{14E89E95-98BC-408B-86D7-A7F722AC08CB}"/>
            </a:ext>
          </a:extLst>
        </xdr:cNvPr>
        <xdr:cNvPicPr/>
      </xdr:nvPicPr>
      <xdr:blipFill>
        <a:blip xmlns:r="http://schemas.openxmlformats.org/officeDocument/2006/relationships" r:embed="rId4"/>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0</xdr:col>
      <xdr:colOff>5438775</xdr:colOff>
      <xdr:row>27</xdr:row>
      <xdr:rowOff>0</xdr:rowOff>
    </xdr:from>
    <xdr:ext cx="6350" cy="352425"/>
    <xdr:pic>
      <xdr:nvPicPr>
        <xdr:cNvPr id="166" name="รูปภาพ 165" descr="http://www.plan.lpru.ac.th/pod/isp/images/icon/coloricon/b5.png">
          <a:extLst>
            <a:ext uri="{FF2B5EF4-FFF2-40B4-BE49-F238E27FC236}">
              <a16:creationId xmlns:a16="http://schemas.microsoft.com/office/drawing/2014/main" id="{50B4CFA9-0481-4362-B7CF-169AB6D77F1F}"/>
            </a:ext>
          </a:extLst>
        </xdr:cNvPr>
        <xdr:cNvPicPr/>
      </xdr:nvPicPr>
      <xdr:blipFill>
        <a:blip xmlns:r="http://schemas.openxmlformats.org/officeDocument/2006/relationships" r:embed="rId5"/>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1</xdr:col>
      <xdr:colOff>819150</xdr:colOff>
      <xdr:row>28</xdr:row>
      <xdr:rowOff>3175</xdr:rowOff>
    </xdr:from>
    <xdr:ext cx="425450" cy="352425"/>
    <xdr:pic>
      <xdr:nvPicPr>
        <xdr:cNvPr id="167" name="รูปภาพ 166">
          <a:extLst>
            <a:ext uri="{FF2B5EF4-FFF2-40B4-BE49-F238E27FC236}">
              <a16:creationId xmlns:a16="http://schemas.microsoft.com/office/drawing/2014/main" id="{162E6EF0-A7A6-4583-91FC-2621B622D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9528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28</xdr:row>
      <xdr:rowOff>22225</xdr:rowOff>
    </xdr:from>
    <xdr:ext cx="431800" cy="352425"/>
    <xdr:pic>
      <xdr:nvPicPr>
        <xdr:cNvPr id="168" name="รูปภาพ 167">
          <a:extLst>
            <a:ext uri="{FF2B5EF4-FFF2-40B4-BE49-F238E27FC236}">
              <a16:creationId xmlns:a16="http://schemas.microsoft.com/office/drawing/2014/main" id="{603DC255-180C-4FA1-B2B9-29E6B3A0A6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9900" y="954722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28</xdr:row>
      <xdr:rowOff>3175</xdr:rowOff>
    </xdr:from>
    <xdr:ext cx="428625" cy="352425"/>
    <xdr:pic>
      <xdr:nvPicPr>
        <xdr:cNvPr id="169" name="รูปภาพ 168">
          <a:extLst>
            <a:ext uri="{FF2B5EF4-FFF2-40B4-BE49-F238E27FC236}">
              <a16:creationId xmlns:a16="http://schemas.microsoft.com/office/drawing/2014/main" id="{7C41DDEB-35DD-412C-A89B-15770DE532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9528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28</xdr:row>
      <xdr:rowOff>12700</xdr:rowOff>
    </xdr:from>
    <xdr:ext cx="431800" cy="352425"/>
    <xdr:pic>
      <xdr:nvPicPr>
        <xdr:cNvPr id="170" name="รูปภาพ 169">
          <a:extLst>
            <a:ext uri="{FF2B5EF4-FFF2-40B4-BE49-F238E27FC236}">
              <a16:creationId xmlns:a16="http://schemas.microsoft.com/office/drawing/2014/main" id="{8027B641-4E9B-459D-A35B-E7B8C87856E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24725" y="9537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28</xdr:row>
      <xdr:rowOff>12700</xdr:rowOff>
    </xdr:from>
    <xdr:ext cx="425450" cy="352425"/>
    <xdr:pic>
      <xdr:nvPicPr>
        <xdr:cNvPr id="171" name="รูปภาพ 170">
          <a:extLst>
            <a:ext uri="{FF2B5EF4-FFF2-40B4-BE49-F238E27FC236}">
              <a16:creationId xmlns:a16="http://schemas.microsoft.com/office/drawing/2014/main" id="{CAF17720-0CA4-4F3C-8630-DFA70DBF4F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05800" y="953770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29</xdr:row>
      <xdr:rowOff>3175</xdr:rowOff>
    </xdr:from>
    <xdr:ext cx="428625" cy="352425"/>
    <xdr:pic>
      <xdr:nvPicPr>
        <xdr:cNvPr id="172" name="รูปภาพ 171">
          <a:extLst>
            <a:ext uri="{FF2B5EF4-FFF2-40B4-BE49-F238E27FC236}">
              <a16:creationId xmlns:a16="http://schemas.microsoft.com/office/drawing/2014/main" id="{C037C83E-40F4-41CC-92DA-115E7856E00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9909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27</xdr:row>
      <xdr:rowOff>9525</xdr:rowOff>
    </xdr:from>
    <xdr:ext cx="428625" cy="352425"/>
    <xdr:pic>
      <xdr:nvPicPr>
        <xdr:cNvPr id="173" name="รูปภาพ 172">
          <a:extLst>
            <a:ext uri="{FF2B5EF4-FFF2-40B4-BE49-F238E27FC236}">
              <a16:creationId xmlns:a16="http://schemas.microsoft.com/office/drawing/2014/main" id="{B0A2F7A2-653D-4776-A0ED-3FB7A4D7E73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82100" y="9153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30</xdr:row>
      <xdr:rowOff>0</xdr:rowOff>
    </xdr:from>
    <xdr:ext cx="0" cy="352425"/>
    <xdr:pic>
      <xdr:nvPicPr>
        <xdr:cNvPr id="174" name="รูปภาพ 173" descr="http://www.plan.lpru.ac.th/pod/isp/images/icon/coloricon/b1.png">
          <a:extLst>
            <a:ext uri="{FF2B5EF4-FFF2-40B4-BE49-F238E27FC236}">
              <a16:creationId xmlns:a16="http://schemas.microsoft.com/office/drawing/2014/main" id="{FCBEB1DF-8CB3-40DF-9A34-39E8744DA9B3}"/>
            </a:ext>
          </a:extLst>
        </xdr:cNvPr>
        <xdr:cNvPicPr/>
      </xdr:nvPicPr>
      <xdr:blipFill>
        <a:blip xmlns:r="http://schemas.openxmlformats.org/officeDocument/2006/relationships" r:embed="rId1"/>
        <a:srcRect/>
        <a:stretch>
          <a:fillRect/>
        </a:stretch>
      </xdr:blipFill>
      <xdr:spPr bwMode="auto">
        <a:xfrm>
          <a:off x="1076325" y="9144000"/>
          <a:ext cx="0" cy="352425"/>
        </a:xfrm>
        <a:prstGeom prst="rect">
          <a:avLst/>
        </a:prstGeom>
        <a:noFill/>
        <a:ln w="9525">
          <a:noFill/>
          <a:miter lim="800000"/>
          <a:headEnd/>
          <a:tailEnd/>
        </a:ln>
      </xdr:spPr>
    </xdr:pic>
    <xdr:clientData/>
  </xdr:oneCellAnchor>
  <xdr:oneCellAnchor>
    <xdr:from>
      <xdr:col>0</xdr:col>
      <xdr:colOff>2019300</xdr:colOff>
      <xdr:row>30</xdr:row>
      <xdr:rowOff>0</xdr:rowOff>
    </xdr:from>
    <xdr:ext cx="0" cy="352425"/>
    <xdr:pic>
      <xdr:nvPicPr>
        <xdr:cNvPr id="175" name="รูปภาพ 174" descr="http://www.plan.lpru.ac.th/pod/isp/images/icon/coloricon/b2.png">
          <a:extLst>
            <a:ext uri="{FF2B5EF4-FFF2-40B4-BE49-F238E27FC236}">
              <a16:creationId xmlns:a16="http://schemas.microsoft.com/office/drawing/2014/main" id="{938B8386-695A-4141-A931-E0EB4C704911}"/>
            </a:ext>
          </a:extLst>
        </xdr:cNvPr>
        <xdr:cNvPicPr/>
      </xdr:nvPicPr>
      <xdr:blipFill>
        <a:blip xmlns:r="http://schemas.openxmlformats.org/officeDocument/2006/relationships" r:embed="rId2"/>
        <a:srcRect/>
        <a:stretch>
          <a:fillRect/>
        </a:stretch>
      </xdr:blipFill>
      <xdr:spPr bwMode="auto">
        <a:xfrm>
          <a:off x="2019300" y="9144000"/>
          <a:ext cx="0" cy="352425"/>
        </a:xfrm>
        <a:prstGeom prst="rect">
          <a:avLst/>
        </a:prstGeom>
        <a:noFill/>
        <a:ln w="9525">
          <a:noFill/>
          <a:miter lim="800000"/>
          <a:headEnd/>
          <a:tailEnd/>
        </a:ln>
      </xdr:spPr>
    </xdr:pic>
    <xdr:clientData/>
  </xdr:oneCellAnchor>
  <xdr:oneCellAnchor>
    <xdr:from>
      <xdr:col>0</xdr:col>
      <xdr:colOff>3143250</xdr:colOff>
      <xdr:row>30</xdr:row>
      <xdr:rowOff>0</xdr:rowOff>
    </xdr:from>
    <xdr:ext cx="0" cy="352425"/>
    <xdr:pic>
      <xdr:nvPicPr>
        <xdr:cNvPr id="176" name="รูปภาพ 175" descr="http://www.plan.lpru.ac.th/pod/isp/images/icon/coloricon/b3.png">
          <a:extLst>
            <a:ext uri="{FF2B5EF4-FFF2-40B4-BE49-F238E27FC236}">
              <a16:creationId xmlns:a16="http://schemas.microsoft.com/office/drawing/2014/main" id="{4148B30D-90D3-47CB-AE19-F9E3D5594AD9}"/>
            </a:ext>
          </a:extLst>
        </xdr:cNvPr>
        <xdr:cNvPicPr/>
      </xdr:nvPicPr>
      <xdr:blipFill>
        <a:blip xmlns:r="http://schemas.openxmlformats.org/officeDocument/2006/relationships" r:embed="rId3"/>
        <a:srcRect/>
        <a:stretch>
          <a:fillRect/>
        </a:stretch>
      </xdr:blipFill>
      <xdr:spPr bwMode="auto">
        <a:xfrm>
          <a:off x="3143250" y="9144000"/>
          <a:ext cx="0" cy="352425"/>
        </a:xfrm>
        <a:prstGeom prst="rect">
          <a:avLst/>
        </a:prstGeom>
        <a:noFill/>
        <a:ln w="9525">
          <a:noFill/>
          <a:miter lim="800000"/>
          <a:headEnd/>
          <a:tailEnd/>
        </a:ln>
      </xdr:spPr>
    </xdr:pic>
    <xdr:clientData/>
  </xdr:oneCellAnchor>
  <xdr:oneCellAnchor>
    <xdr:from>
      <xdr:col>0</xdr:col>
      <xdr:colOff>4324350</xdr:colOff>
      <xdr:row>30</xdr:row>
      <xdr:rowOff>0</xdr:rowOff>
    </xdr:from>
    <xdr:ext cx="6350" cy="352425"/>
    <xdr:pic>
      <xdr:nvPicPr>
        <xdr:cNvPr id="177" name="รูปภาพ 176" descr="http://www.plan.lpru.ac.th/pod/isp/images/icon/coloricon/b4.png">
          <a:extLst>
            <a:ext uri="{FF2B5EF4-FFF2-40B4-BE49-F238E27FC236}">
              <a16:creationId xmlns:a16="http://schemas.microsoft.com/office/drawing/2014/main" id="{1F51B1EA-E440-4764-A1B8-9FC0091C26C6}"/>
            </a:ext>
          </a:extLst>
        </xdr:cNvPr>
        <xdr:cNvPicPr/>
      </xdr:nvPicPr>
      <xdr:blipFill>
        <a:blip xmlns:r="http://schemas.openxmlformats.org/officeDocument/2006/relationships" r:embed="rId4"/>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0</xdr:col>
      <xdr:colOff>5438775</xdr:colOff>
      <xdr:row>30</xdr:row>
      <xdr:rowOff>0</xdr:rowOff>
    </xdr:from>
    <xdr:ext cx="6350" cy="352425"/>
    <xdr:pic>
      <xdr:nvPicPr>
        <xdr:cNvPr id="178" name="รูปภาพ 177" descr="http://www.plan.lpru.ac.th/pod/isp/images/icon/coloricon/b5.png">
          <a:extLst>
            <a:ext uri="{FF2B5EF4-FFF2-40B4-BE49-F238E27FC236}">
              <a16:creationId xmlns:a16="http://schemas.microsoft.com/office/drawing/2014/main" id="{81F7C249-9A75-4E30-AA81-C0A6D1B8E392}"/>
            </a:ext>
          </a:extLst>
        </xdr:cNvPr>
        <xdr:cNvPicPr/>
      </xdr:nvPicPr>
      <xdr:blipFill>
        <a:blip xmlns:r="http://schemas.openxmlformats.org/officeDocument/2006/relationships" r:embed="rId5"/>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1</xdr:col>
      <xdr:colOff>819150</xdr:colOff>
      <xdr:row>31</xdr:row>
      <xdr:rowOff>3175</xdr:rowOff>
    </xdr:from>
    <xdr:ext cx="425450" cy="352425"/>
    <xdr:pic>
      <xdr:nvPicPr>
        <xdr:cNvPr id="179" name="รูปภาพ 178">
          <a:extLst>
            <a:ext uri="{FF2B5EF4-FFF2-40B4-BE49-F238E27FC236}">
              <a16:creationId xmlns:a16="http://schemas.microsoft.com/office/drawing/2014/main" id="{E40DD062-0DCE-456F-8BC1-E750BEA8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9528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31</xdr:row>
      <xdr:rowOff>22225</xdr:rowOff>
    </xdr:from>
    <xdr:ext cx="431800" cy="352425"/>
    <xdr:pic>
      <xdr:nvPicPr>
        <xdr:cNvPr id="180" name="รูปภาพ 179">
          <a:extLst>
            <a:ext uri="{FF2B5EF4-FFF2-40B4-BE49-F238E27FC236}">
              <a16:creationId xmlns:a16="http://schemas.microsoft.com/office/drawing/2014/main" id="{43F56E90-879F-4064-8100-9E4281DAE9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9900" y="954722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31</xdr:row>
      <xdr:rowOff>3175</xdr:rowOff>
    </xdr:from>
    <xdr:ext cx="428625" cy="352425"/>
    <xdr:pic>
      <xdr:nvPicPr>
        <xdr:cNvPr id="181" name="รูปภาพ 180">
          <a:extLst>
            <a:ext uri="{FF2B5EF4-FFF2-40B4-BE49-F238E27FC236}">
              <a16:creationId xmlns:a16="http://schemas.microsoft.com/office/drawing/2014/main" id="{912945F1-1477-49B6-A5A2-0109090F1D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9528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31</xdr:row>
      <xdr:rowOff>12700</xdr:rowOff>
    </xdr:from>
    <xdr:ext cx="431800" cy="352425"/>
    <xdr:pic>
      <xdr:nvPicPr>
        <xdr:cNvPr id="182" name="รูปภาพ 181">
          <a:extLst>
            <a:ext uri="{FF2B5EF4-FFF2-40B4-BE49-F238E27FC236}">
              <a16:creationId xmlns:a16="http://schemas.microsoft.com/office/drawing/2014/main" id="{4642B586-D490-4A7D-848A-C58486E1910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24725" y="9537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31</xdr:row>
      <xdr:rowOff>12700</xdr:rowOff>
    </xdr:from>
    <xdr:ext cx="425450" cy="352425"/>
    <xdr:pic>
      <xdr:nvPicPr>
        <xdr:cNvPr id="183" name="รูปภาพ 182">
          <a:extLst>
            <a:ext uri="{FF2B5EF4-FFF2-40B4-BE49-F238E27FC236}">
              <a16:creationId xmlns:a16="http://schemas.microsoft.com/office/drawing/2014/main" id="{C933AE4C-8AC0-4CAA-A2C7-65EC12E19D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05800" y="953770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32</xdr:row>
      <xdr:rowOff>3175</xdr:rowOff>
    </xdr:from>
    <xdr:ext cx="428625" cy="352425"/>
    <xdr:pic>
      <xdr:nvPicPr>
        <xdr:cNvPr id="184" name="รูปภาพ 183">
          <a:extLst>
            <a:ext uri="{FF2B5EF4-FFF2-40B4-BE49-F238E27FC236}">
              <a16:creationId xmlns:a16="http://schemas.microsoft.com/office/drawing/2014/main" id="{8F476049-8F12-45AE-9AD5-FD82B807BCD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9909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30</xdr:row>
      <xdr:rowOff>9525</xdr:rowOff>
    </xdr:from>
    <xdr:ext cx="428625" cy="352425"/>
    <xdr:pic>
      <xdr:nvPicPr>
        <xdr:cNvPr id="185" name="รูปภาพ 184">
          <a:extLst>
            <a:ext uri="{FF2B5EF4-FFF2-40B4-BE49-F238E27FC236}">
              <a16:creationId xmlns:a16="http://schemas.microsoft.com/office/drawing/2014/main" id="{8760DEAA-FB6F-4F57-BA94-C2E274131E1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82100" y="9153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33</xdr:row>
      <xdr:rowOff>0</xdr:rowOff>
    </xdr:from>
    <xdr:ext cx="0" cy="352425"/>
    <xdr:pic>
      <xdr:nvPicPr>
        <xdr:cNvPr id="186" name="รูปภาพ 185" descr="http://www.plan.lpru.ac.th/pod/isp/images/icon/coloricon/b1.png">
          <a:extLst>
            <a:ext uri="{FF2B5EF4-FFF2-40B4-BE49-F238E27FC236}">
              <a16:creationId xmlns:a16="http://schemas.microsoft.com/office/drawing/2014/main" id="{6893821D-79CA-4E19-8F87-D64483B3DA02}"/>
            </a:ext>
          </a:extLst>
        </xdr:cNvPr>
        <xdr:cNvPicPr/>
      </xdr:nvPicPr>
      <xdr:blipFill>
        <a:blip xmlns:r="http://schemas.openxmlformats.org/officeDocument/2006/relationships" r:embed="rId1"/>
        <a:srcRect/>
        <a:stretch>
          <a:fillRect/>
        </a:stretch>
      </xdr:blipFill>
      <xdr:spPr bwMode="auto">
        <a:xfrm>
          <a:off x="1076325" y="9144000"/>
          <a:ext cx="0" cy="352425"/>
        </a:xfrm>
        <a:prstGeom prst="rect">
          <a:avLst/>
        </a:prstGeom>
        <a:noFill/>
        <a:ln w="9525">
          <a:noFill/>
          <a:miter lim="800000"/>
          <a:headEnd/>
          <a:tailEnd/>
        </a:ln>
      </xdr:spPr>
    </xdr:pic>
    <xdr:clientData/>
  </xdr:oneCellAnchor>
  <xdr:oneCellAnchor>
    <xdr:from>
      <xdr:col>0</xdr:col>
      <xdr:colOff>2019300</xdr:colOff>
      <xdr:row>33</xdr:row>
      <xdr:rowOff>0</xdr:rowOff>
    </xdr:from>
    <xdr:ext cx="0" cy="352425"/>
    <xdr:pic>
      <xdr:nvPicPr>
        <xdr:cNvPr id="187" name="รูปภาพ 186" descr="http://www.plan.lpru.ac.th/pod/isp/images/icon/coloricon/b2.png">
          <a:extLst>
            <a:ext uri="{FF2B5EF4-FFF2-40B4-BE49-F238E27FC236}">
              <a16:creationId xmlns:a16="http://schemas.microsoft.com/office/drawing/2014/main" id="{586900B2-9A8E-410C-952E-ECB960A3CEFE}"/>
            </a:ext>
          </a:extLst>
        </xdr:cNvPr>
        <xdr:cNvPicPr/>
      </xdr:nvPicPr>
      <xdr:blipFill>
        <a:blip xmlns:r="http://schemas.openxmlformats.org/officeDocument/2006/relationships" r:embed="rId2"/>
        <a:srcRect/>
        <a:stretch>
          <a:fillRect/>
        </a:stretch>
      </xdr:blipFill>
      <xdr:spPr bwMode="auto">
        <a:xfrm>
          <a:off x="2019300" y="9144000"/>
          <a:ext cx="0" cy="352425"/>
        </a:xfrm>
        <a:prstGeom prst="rect">
          <a:avLst/>
        </a:prstGeom>
        <a:noFill/>
        <a:ln w="9525">
          <a:noFill/>
          <a:miter lim="800000"/>
          <a:headEnd/>
          <a:tailEnd/>
        </a:ln>
      </xdr:spPr>
    </xdr:pic>
    <xdr:clientData/>
  </xdr:oneCellAnchor>
  <xdr:oneCellAnchor>
    <xdr:from>
      <xdr:col>0</xdr:col>
      <xdr:colOff>3143250</xdr:colOff>
      <xdr:row>33</xdr:row>
      <xdr:rowOff>0</xdr:rowOff>
    </xdr:from>
    <xdr:ext cx="0" cy="352425"/>
    <xdr:pic>
      <xdr:nvPicPr>
        <xdr:cNvPr id="188" name="รูปภาพ 187" descr="http://www.plan.lpru.ac.th/pod/isp/images/icon/coloricon/b3.png">
          <a:extLst>
            <a:ext uri="{FF2B5EF4-FFF2-40B4-BE49-F238E27FC236}">
              <a16:creationId xmlns:a16="http://schemas.microsoft.com/office/drawing/2014/main" id="{9B32819B-8E90-4B9E-99FE-169358F39146}"/>
            </a:ext>
          </a:extLst>
        </xdr:cNvPr>
        <xdr:cNvPicPr/>
      </xdr:nvPicPr>
      <xdr:blipFill>
        <a:blip xmlns:r="http://schemas.openxmlformats.org/officeDocument/2006/relationships" r:embed="rId3"/>
        <a:srcRect/>
        <a:stretch>
          <a:fillRect/>
        </a:stretch>
      </xdr:blipFill>
      <xdr:spPr bwMode="auto">
        <a:xfrm>
          <a:off x="3143250" y="9144000"/>
          <a:ext cx="0" cy="352425"/>
        </a:xfrm>
        <a:prstGeom prst="rect">
          <a:avLst/>
        </a:prstGeom>
        <a:noFill/>
        <a:ln w="9525">
          <a:noFill/>
          <a:miter lim="800000"/>
          <a:headEnd/>
          <a:tailEnd/>
        </a:ln>
      </xdr:spPr>
    </xdr:pic>
    <xdr:clientData/>
  </xdr:oneCellAnchor>
  <xdr:oneCellAnchor>
    <xdr:from>
      <xdr:col>0</xdr:col>
      <xdr:colOff>4324350</xdr:colOff>
      <xdr:row>33</xdr:row>
      <xdr:rowOff>0</xdr:rowOff>
    </xdr:from>
    <xdr:ext cx="6350" cy="352425"/>
    <xdr:pic>
      <xdr:nvPicPr>
        <xdr:cNvPr id="189" name="รูปภาพ 188" descr="http://www.plan.lpru.ac.th/pod/isp/images/icon/coloricon/b4.png">
          <a:extLst>
            <a:ext uri="{FF2B5EF4-FFF2-40B4-BE49-F238E27FC236}">
              <a16:creationId xmlns:a16="http://schemas.microsoft.com/office/drawing/2014/main" id="{D92A7B0B-76FD-48CD-9E9E-3FCE68F3249A}"/>
            </a:ext>
          </a:extLst>
        </xdr:cNvPr>
        <xdr:cNvPicPr/>
      </xdr:nvPicPr>
      <xdr:blipFill>
        <a:blip xmlns:r="http://schemas.openxmlformats.org/officeDocument/2006/relationships" r:embed="rId4"/>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0</xdr:col>
      <xdr:colOff>5438775</xdr:colOff>
      <xdr:row>33</xdr:row>
      <xdr:rowOff>0</xdr:rowOff>
    </xdr:from>
    <xdr:ext cx="6350" cy="352425"/>
    <xdr:pic>
      <xdr:nvPicPr>
        <xdr:cNvPr id="190" name="รูปภาพ 189" descr="http://www.plan.lpru.ac.th/pod/isp/images/icon/coloricon/b5.png">
          <a:extLst>
            <a:ext uri="{FF2B5EF4-FFF2-40B4-BE49-F238E27FC236}">
              <a16:creationId xmlns:a16="http://schemas.microsoft.com/office/drawing/2014/main" id="{B9CF3723-1CE5-44B8-B28D-97741533AF82}"/>
            </a:ext>
          </a:extLst>
        </xdr:cNvPr>
        <xdr:cNvPicPr/>
      </xdr:nvPicPr>
      <xdr:blipFill>
        <a:blip xmlns:r="http://schemas.openxmlformats.org/officeDocument/2006/relationships" r:embed="rId5"/>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1</xdr:col>
      <xdr:colOff>819150</xdr:colOff>
      <xdr:row>34</xdr:row>
      <xdr:rowOff>3175</xdr:rowOff>
    </xdr:from>
    <xdr:ext cx="425450" cy="352425"/>
    <xdr:pic>
      <xdr:nvPicPr>
        <xdr:cNvPr id="191" name="รูปภาพ 190">
          <a:extLst>
            <a:ext uri="{FF2B5EF4-FFF2-40B4-BE49-F238E27FC236}">
              <a16:creationId xmlns:a16="http://schemas.microsoft.com/office/drawing/2014/main" id="{F9776A8C-F78A-4AC6-BB97-E8968CF09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9528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34</xdr:row>
      <xdr:rowOff>22225</xdr:rowOff>
    </xdr:from>
    <xdr:ext cx="431800" cy="352425"/>
    <xdr:pic>
      <xdr:nvPicPr>
        <xdr:cNvPr id="192" name="รูปภาพ 191">
          <a:extLst>
            <a:ext uri="{FF2B5EF4-FFF2-40B4-BE49-F238E27FC236}">
              <a16:creationId xmlns:a16="http://schemas.microsoft.com/office/drawing/2014/main" id="{8CEA68CC-0C49-4E58-A1BD-E36C9EE75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9900" y="954722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34</xdr:row>
      <xdr:rowOff>3175</xdr:rowOff>
    </xdr:from>
    <xdr:ext cx="428625" cy="352425"/>
    <xdr:pic>
      <xdr:nvPicPr>
        <xdr:cNvPr id="193" name="รูปภาพ 192">
          <a:extLst>
            <a:ext uri="{FF2B5EF4-FFF2-40B4-BE49-F238E27FC236}">
              <a16:creationId xmlns:a16="http://schemas.microsoft.com/office/drawing/2014/main" id="{FCE6D528-EEDC-47A6-A21C-DD454B57EB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9528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34</xdr:row>
      <xdr:rowOff>12700</xdr:rowOff>
    </xdr:from>
    <xdr:ext cx="431800" cy="352425"/>
    <xdr:pic>
      <xdr:nvPicPr>
        <xdr:cNvPr id="194" name="รูปภาพ 193">
          <a:extLst>
            <a:ext uri="{FF2B5EF4-FFF2-40B4-BE49-F238E27FC236}">
              <a16:creationId xmlns:a16="http://schemas.microsoft.com/office/drawing/2014/main" id="{3B4B8D41-1ED0-454D-B3F6-CC6C0CB2A88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24725" y="9537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34</xdr:row>
      <xdr:rowOff>12700</xdr:rowOff>
    </xdr:from>
    <xdr:ext cx="425450" cy="352425"/>
    <xdr:pic>
      <xdr:nvPicPr>
        <xdr:cNvPr id="195" name="รูปภาพ 194">
          <a:extLst>
            <a:ext uri="{FF2B5EF4-FFF2-40B4-BE49-F238E27FC236}">
              <a16:creationId xmlns:a16="http://schemas.microsoft.com/office/drawing/2014/main" id="{93EC186C-B690-4AEA-AD15-C0CCD35FDE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05800" y="953770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35</xdr:row>
      <xdr:rowOff>3175</xdr:rowOff>
    </xdr:from>
    <xdr:ext cx="428625" cy="352425"/>
    <xdr:pic>
      <xdr:nvPicPr>
        <xdr:cNvPr id="196" name="รูปภาพ 195">
          <a:extLst>
            <a:ext uri="{FF2B5EF4-FFF2-40B4-BE49-F238E27FC236}">
              <a16:creationId xmlns:a16="http://schemas.microsoft.com/office/drawing/2014/main" id="{75E69C56-E5F1-4110-A150-580AB78D543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9909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33</xdr:row>
      <xdr:rowOff>9525</xdr:rowOff>
    </xdr:from>
    <xdr:ext cx="428625" cy="352425"/>
    <xdr:pic>
      <xdr:nvPicPr>
        <xdr:cNvPr id="197" name="รูปภาพ 196">
          <a:extLst>
            <a:ext uri="{FF2B5EF4-FFF2-40B4-BE49-F238E27FC236}">
              <a16:creationId xmlns:a16="http://schemas.microsoft.com/office/drawing/2014/main" id="{EF5D056F-EE2B-47CB-8350-F20C1F676A2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82100" y="9153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1076325</xdr:colOff>
      <xdr:row>36</xdr:row>
      <xdr:rowOff>0</xdr:rowOff>
    </xdr:from>
    <xdr:ext cx="0" cy="352425"/>
    <xdr:pic>
      <xdr:nvPicPr>
        <xdr:cNvPr id="198" name="รูปภาพ 197" descr="http://www.plan.lpru.ac.th/pod/isp/images/icon/coloricon/b1.png">
          <a:extLst>
            <a:ext uri="{FF2B5EF4-FFF2-40B4-BE49-F238E27FC236}">
              <a16:creationId xmlns:a16="http://schemas.microsoft.com/office/drawing/2014/main" id="{18D76537-70E0-4E14-9858-2C8A17597979}"/>
            </a:ext>
          </a:extLst>
        </xdr:cNvPr>
        <xdr:cNvPicPr/>
      </xdr:nvPicPr>
      <xdr:blipFill>
        <a:blip xmlns:r="http://schemas.openxmlformats.org/officeDocument/2006/relationships" r:embed="rId1"/>
        <a:srcRect/>
        <a:stretch>
          <a:fillRect/>
        </a:stretch>
      </xdr:blipFill>
      <xdr:spPr bwMode="auto">
        <a:xfrm>
          <a:off x="1076325" y="9144000"/>
          <a:ext cx="0" cy="352425"/>
        </a:xfrm>
        <a:prstGeom prst="rect">
          <a:avLst/>
        </a:prstGeom>
        <a:noFill/>
        <a:ln w="9525">
          <a:noFill/>
          <a:miter lim="800000"/>
          <a:headEnd/>
          <a:tailEnd/>
        </a:ln>
      </xdr:spPr>
    </xdr:pic>
    <xdr:clientData/>
  </xdr:oneCellAnchor>
  <xdr:oneCellAnchor>
    <xdr:from>
      <xdr:col>0</xdr:col>
      <xdr:colOff>2019300</xdr:colOff>
      <xdr:row>36</xdr:row>
      <xdr:rowOff>0</xdr:rowOff>
    </xdr:from>
    <xdr:ext cx="0" cy="352425"/>
    <xdr:pic>
      <xdr:nvPicPr>
        <xdr:cNvPr id="199" name="รูปภาพ 198" descr="http://www.plan.lpru.ac.th/pod/isp/images/icon/coloricon/b2.png">
          <a:extLst>
            <a:ext uri="{FF2B5EF4-FFF2-40B4-BE49-F238E27FC236}">
              <a16:creationId xmlns:a16="http://schemas.microsoft.com/office/drawing/2014/main" id="{4EF3FB11-7B58-47E9-B597-87DD1E4CB302}"/>
            </a:ext>
          </a:extLst>
        </xdr:cNvPr>
        <xdr:cNvPicPr/>
      </xdr:nvPicPr>
      <xdr:blipFill>
        <a:blip xmlns:r="http://schemas.openxmlformats.org/officeDocument/2006/relationships" r:embed="rId2"/>
        <a:srcRect/>
        <a:stretch>
          <a:fillRect/>
        </a:stretch>
      </xdr:blipFill>
      <xdr:spPr bwMode="auto">
        <a:xfrm>
          <a:off x="2019300" y="9144000"/>
          <a:ext cx="0" cy="352425"/>
        </a:xfrm>
        <a:prstGeom prst="rect">
          <a:avLst/>
        </a:prstGeom>
        <a:noFill/>
        <a:ln w="9525">
          <a:noFill/>
          <a:miter lim="800000"/>
          <a:headEnd/>
          <a:tailEnd/>
        </a:ln>
      </xdr:spPr>
    </xdr:pic>
    <xdr:clientData/>
  </xdr:oneCellAnchor>
  <xdr:oneCellAnchor>
    <xdr:from>
      <xdr:col>0</xdr:col>
      <xdr:colOff>3143250</xdr:colOff>
      <xdr:row>36</xdr:row>
      <xdr:rowOff>0</xdr:rowOff>
    </xdr:from>
    <xdr:ext cx="0" cy="352425"/>
    <xdr:pic>
      <xdr:nvPicPr>
        <xdr:cNvPr id="200" name="รูปภาพ 199" descr="http://www.plan.lpru.ac.th/pod/isp/images/icon/coloricon/b3.png">
          <a:extLst>
            <a:ext uri="{FF2B5EF4-FFF2-40B4-BE49-F238E27FC236}">
              <a16:creationId xmlns:a16="http://schemas.microsoft.com/office/drawing/2014/main" id="{F56D9C67-8C41-4FFE-92E9-C10F562FCDDD}"/>
            </a:ext>
          </a:extLst>
        </xdr:cNvPr>
        <xdr:cNvPicPr/>
      </xdr:nvPicPr>
      <xdr:blipFill>
        <a:blip xmlns:r="http://schemas.openxmlformats.org/officeDocument/2006/relationships" r:embed="rId3"/>
        <a:srcRect/>
        <a:stretch>
          <a:fillRect/>
        </a:stretch>
      </xdr:blipFill>
      <xdr:spPr bwMode="auto">
        <a:xfrm>
          <a:off x="3143250" y="9144000"/>
          <a:ext cx="0" cy="352425"/>
        </a:xfrm>
        <a:prstGeom prst="rect">
          <a:avLst/>
        </a:prstGeom>
        <a:noFill/>
        <a:ln w="9525">
          <a:noFill/>
          <a:miter lim="800000"/>
          <a:headEnd/>
          <a:tailEnd/>
        </a:ln>
      </xdr:spPr>
    </xdr:pic>
    <xdr:clientData/>
  </xdr:oneCellAnchor>
  <xdr:oneCellAnchor>
    <xdr:from>
      <xdr:col>0</xdr:col>
      <xdr:colOff>4324350</xdr:colOff>
      <xdr:row>36</xdr:row>
      <xdr:rowOff>0</xdr:rowOff>
    </xdr:from>
    <xdr:ext cx="6350" cy="352425"/>
    <xdr:pic>
      <xdr:nvPicPr>
        <xdr:cNvPr id="201" name="รูปภาพ 200" descr="http://www.plan.lpru.ac.th/pod/isp/images/icon/coloricon/b4.png">
          <a:extLst>
            <a:ext uri="{FF2B5EF4-FFF2-40B4-BE49-F238E27FC236}">
              <a16:creationId xmlns:a16="http://schemas.microsoft.com/office/drawing/2014/main" id="{E45D0590-8590-4AFC-BBCD-B048CD78EFC2}"/>
            </a:ext>
          </a:extLst>
        </xdr:cNvPr>
        <xdr:cNvPicPr/>
      </xdr:nvPicPr>
      <xdr:blipFill>
        <a:blip xmlns:r="http://schemas.openxmlformats.org/officeDocument/2006/relationships" r:embed="rId4"/>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0</xdr:col>
      <xdr:colOff>5438775</xdr:colOff>
      <xdr:row>36</xdr:row>
      <xdr:rowOff>0</xdr:rowOff>
    </xdr:from>
    <xdr:ext cx="6350" cy="352425"/>
    <xdr:pic>
      <xdr:nvPicPr>
        <xdr:cNvPr id="202" name="รูปภาพ 201" descr="http://www.plan.lpru.ac.th/pod/isp/images/icon/coloricon/b5.png">
          <a:extLst>
            <a:ext uri="{FF2B5EF4-FFF2-40B4-BE49-F238E27FC236}">
              <a16:creationId xmlns:a16="http://schemas.microsoft.com/office/drawing/2014/main" id="{71BB698E-B26D-4DF2-998F-099F2B12CC51}"/>
            </a:ext>
          </a:extLst>
        </xdr:cNvPr>
        <xdr:cNvPicPr/>
      </xdr:nvPicPr>
      <xdr:blipFill>
        <a:blip xmlns:r="http://schemas.openxmlformats.org/officeDocument/2006/relationships" r:embed="rId5"/>
        <a:srcRect/>
        <a:stretch>
          <a:fillRect/>
        </a:stretch>
      </xdr:blipFill>
      <xdr:spPr bwMode="auto">
        <a:xfrm>
          <a:off x="3924300" y="9144000"/>
          <a:ext cx="6350" cy="352425"/>
        </a:xfrm>
        <a:prstGeom prst="rect">
          <a:avLst/>
        </a:prstGeom>
        <a:noFill/>
        <a:ln w="9525">
          <a:noFill/>
          <a:miter lim="800000"/>
          <a:headEnd/>
          <a:tailEnd/>
        </a:ln>
      </xdr:spPr>
    </xdr:pic>
    <xdr:clientData/>
  </xdr:oneCellAnchor>
  <xdr:oneCellAnchor>
    <xdr:from>
      <xdr:col>1</xdr:col>
      <xdr:colOff>819150</xdr:colOff>
      <xdr:row>37</xdr:row>
      <xdr:rowOff>3175</xdr:rowOff>
    </xdr:from>
    <xdr:ext cx="425450" cy="352425"/>
    <xdr:pic>
      <xdr:nvPicPr>
        <xdr:cNvPr id="203" name="รูปภาพ 202">
          <a:extLst>
            <a:ext uri="{FF2B5EF4-FFF2-40B4-BE49-F238E27FC236}">
              <a16:creationId xmlns:a16="http://schemas.microsoft.com/office/drawing/2014/main" id="{0A23A645-5BD3-4F66-8D9B-FA080C7EF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9528175"/>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349250</xdr:colOff>
      <xdr:row>37</xdr:row>
      <xdr:rowOff>22225</xdr:rowOff>
    </xdr:from>
    <xdr:ext cx="431800" cy="352425"/>
    <xdr:pic>
      <xdr:nvPicPr>
        <xdr:cNvPr id="204" name="รูปภาพ 203">
          <a:extLst>
            <a:ext uri="{FF2B5EF4-FFF2-40B4-BE49-F238E27FC236}">
              <a16:creationId xmlns:a16="http://schemas.microsoft.com/office/drawing/2014/main" id="{5A395187-9AB5-4B70-9436-9F4BE5716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9900" y="9547225"/>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1209675</xdr:colOff>
      <xdr:row>37</xdr:row>
      <xdr:rowOff>3175</xdr:rowOff>
    </xdr:from>
    <xdr:ext cx="428625" cy="352425"/>
    <xdr:pic>
      <xdr:nvPicPr>
        <xdr:cNvPr id="205" name="รูปภาพ 204">
          <a:extLst>
            <a:ext uri="{FF2B5EF4-FFF2-40B4-BE49-F238E27FC236}">
              <a16:creationId xmlns:a16="http://schemas.microsoft.com/office/drawing/2014/main" id="{C7368429-0AAB-4598-BAC8-903B45B919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9528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847725</xdr:colOff>
      <xdr:row>37</xdr:row>
      <xdr:rowOff>12700</xdr:rowOff>
    </xdr:from>
    <xdr:ext cx="431800" cy="352425"/>
    <xdr:pic>
      <xdr:nvPicPr>
        <xdr:cNvPr id="206" name="รูปภาพ 205">
          <a:extLst>
            <a:ext uri="{FF2B5EF4-FFF2-40B4-BE49-F238E27FC236}">
              <a16:creationId xmlns:a16="http://schemas.microsoft.com/office/drawing/2014/main" id="{530AA607-3DE8-4CDE-82B0-586FD34595B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24725" y="9537700"/>
          <a:ext cx="43180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552450</xdr:colOff>
      <xdr:row>37</xdr:row>
      <xdr:rowOff>12700</xdr:rowOff>
    </xdr:from>
    <xdr:ext cx="425450" cy="352425"/>
    <xdr:pic>
      <xdr:nvPicPr>
        <xdr:cNvPr id="207" name="รูปภาพ 206">
          <a:extLst>
            <a:ext uri="{FF2B5EF4-FFF2-40B4-BE49-F238E27FC236}">
              <a16:creationId xmlns:a16="http://schemas.microsoft.com/office/drawing/2014/main" id="{5B191365-4B33-44FF-80B1-E291CE93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05800" y="9537700"/>
          <a:ext cx="425450"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815975</xdr:colOff>
      <xdr:row>38</xdr:row>
      <xdr:rowOff>3175</xdr:rowOff>
    </xdr:from>
    <xdr:ext cx="428625" cy="352425"/>
    <xdr:pic>
      <xdr:nvPicPr>
        <xdr:cNvPr id="208" name="รูปภาพ 207">
          <a:extLst>
            <a:ext uri="{FF2B5EF4-FFF2-40B4-BE49-F238E27FC236}">
              <a16:creationId xmlns:a16="http://schemas.microsoft.com/office/drawing/2014/main" id="{65F58CC5-990E-46AA-A45C-70047FA7480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0275" y="990917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323850</xdr:colOff>
      <xdr:row>36</xdr:row>
      <xdr:rowOff>9525</xdr:rowOff>
    </xdr:from>
    <xdr:ext cx="428625" cy="352425"/>
    <xdr:pic>
      <xdr:nvPicPr>
        <xdr:cNvPr id="209" name="รูปภาพ 208">
          <a:extLst>
            <a:ext uri="{FF2B5EF4-FFF2-40B4-BE49-F238E27FC236}">
              <a16:creationId xmlns:a16="http://schemas.microsoft.com/office/drawing/2014/main" id="{A9DECE1C-3164-4062-81A9-C49410CEBF8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82100" y="9153525"/>
          <a:ext cx="4286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19;&#3623;&#3617;&#3648;&#3629;&#3585;&#3626;&#3634;&#3619;&#3648;&#3586;&#3657;&#3634;&#3626;&#3616;&#3634;&#3617;&#3627;&#3634;&#3623;&#3636;&#3607;&#3618;&#3634;&#3621;&#3633;&#3618;%20&#3611;&#3637;%2062/&#3619;&#3634;&#3618;&#3591;&#3634;&#3609;&#3652;&#3605;&#3619;&#3617;&#3634;&#3626;%202%2062/&#3619;&#3623;&#3617;&#3619;&#3634;&#3618;&#3591;&#3634;&#3609;%20&#3652;&#3605;&#3619;&#3617;&#3634;&#3626;%202%20&#3611;&#3637;%2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ก"/>
      <sheetName val="สารบัญ"/>
      <sheetName val="S1"/>
      <sheetName val="S2"/>
      <sheetName val="S3"/>
      <sheetName val="S3.1"/>
      <sheetName val="S4"/>
      <sheetName val="S5"/>
      <sheetName val="S6"/>
      <sheetName val="S7"/>
      <sheetName val="S8"/>
      <sheetName val="S9"/>
      <sheetName val="S10"/>
      <sheetName val="S11"/>
      <sheetName val="Sheet2"/>
      <sheetName val="แผ่นดิน"/>
      <sheetName val="รายได้"/>
      <sheetName val="ประเด็นแผ่นดิน"/>
      <sheetName val="ประเด็นรายได้"/>
      <sheetName val="Sheet1"/>
      <sheetName val="Sheet3"/>
      <sheetName val="Sheet4"/>
      <sheetName val="Sheet5"/>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S5">
            <v>131375624.84</v>
          </cell>
        </row>
        <row r="8">
          <cell r="S8">
            <v>146459372.92999998</v>
          </cell>
        </row>
        <row r="9">
          <cell r="S9">
            <v>4677840</v>
          </cell>
        </row>
        <row r="13">
          <cell r="S13">
            <v>7163516.3399999999</v>
          </cell>
        </row>
        <row r="14">
          <cell r="S14">
            <v>813740</v>
          </cell>
        </row>
        <row r="18">
          <cell r="S18">
            <v>43306611.990000002</v>
          </cell>
        </row>
      </sheetData>
      <sheetData sheetId="18">
        <row r="5">
          <cell r="S5">
            <v>7188518.4100000001</v>
          </cell>
        </row>
        <row r="8">
          <cell r="S8">
            <v>15441295.02</v>
          </cell>
        </row>
        <row r="9">
          <cell r="S9">
            <v>1021810</v>
          </cell>
        </row>
        <row r="12">
          <cell r="S12">
            <v>602787.32999999996</v>
          </cell>
        </row>
        <row r="13">
          <cell r="S13">
            <v>176237</v>
          </cell>
        </row>
        <row r="17">
          <cell r="S17">
            <v>18495609</v>
          </cell>
        </row>
        <row r="18">
          <cell r="S18">
            <v>610270</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8" Type="http://schemas.openxmlformats.org/officeDocument/2006/relationships/hyperlink" Target="http://3dgf.lpru.ac.th/bgreport1/BG2562/SubBudgetPlan.php?Plan=1&amp;BudgetYear=2562&amp;ProjectID=03002&amp;PlanN=%E0%A7%D4%B9%A7%BA%BB%C3%D0%C1%D2%B3%E1%BC%E8%B9%B4%D4%B9" TargetMode="External"/><Relationship Id="rId13" Type="http://schemas.openxmlformats.org/officeDocument/2006/relationships/printerSettings" Target="../printerSettings/printerSettings19.bin"/><Relationship Id="rId3" Type="http://schemas.openxmlformats.org/officeDocument/2006/relationships/hyperlink" Target="http://3dgf.lpru.ac.th/bgreport1/BG2562/SubBudgetPlan.php?Plan=1&amp;BudgetYear=2562&amp;ProjectID=02002&amp;PlanN=%E0%A7%D4%B9%A7%BA%BB%C3%D0%C1%D2%B3%E1%BC%E8%B9%B4%D4%B9" TargetMode="External"/><Relationship Id="rId7" Type="http://schemas.openxmlformats.org/officeDocument/2006/relationships/hyperlink" Target="http://3dgf.lpru.ac.th/bgreport1/BG2562/SubBudgetPlan.php?Plan=1&amp;BudgetYear=2562&amp;ProjectID=03001&amp;PlanN=%E0%A7%D4%B9%A7%BA%BB%C3%D0%C1%D2%B3%E1%BC%E8%B9%B4%D4%B9" TargetMode="External"/><Relationship Id="rId12" Type="http://schemas.openxmlformats.org/officeDocument/2006/relationships/hyperlink" Target="http://3dgf.lpru.ac.th/bgreport1/BG2562/SubBudgetPlan.php?Plan=1&amp;BudgetYear=2562&amp;ProjectID=05001&amp;PlanN=%E0%A7%D4%B9%A7%BA%BB%C3%D0%C1%D2%B3%E1%BC%E8%B9%B4%D4%B9" TargetMode="External"/><Relationship Id="rId2" Type="http://schemas.openxmlformats.org/officeDocument/2006/relationships/hyperlink" Target="http://3dgf.lpru.ac.th/bgreport1/BG2562/SubBudgetPlan.php?Plan=1&amp;BudgetYear=2562&amp;ProjectID=02001&amp;PlanN=%E0%A7%D4%B9%A7%BA%BB%C3%D0%C1%D2%B3%E1%BC%E8%B9%B4%D4%B9" TargetMode="External"/><Relationship Id="rId1" Type="http://schemas.openxmlformats.org/officeDocument/2006/relationships/hyperlink" Target="http://3dgf.lpru.ac.th/bgreport1/BG2562/SubBudgetPlan.php?Plan=1&amp;BudgetYear=2562&amp;ProjectID=01001&amp;PlanN=%E0%A7%D4%B9%A7%BA%BB%C3%D0%C1%D2%B3%E1%BC%E8%B9%B4%D4%B9" TargetMode="External"/><Relationship Id="rId6" Type="http://schemas.openxmlformats.org/officeDocument/2006/relationships/hyperlink" Target="http://3dgf.lpru.ac.th/bgreport1/BG2562/SubBudgetPlan.php?Plan=1&amp;BudgetYear=2562&amp;ProjectID=02201&amp;PlanN=%E0%A7%D4%B9%A7%BA%BB%C3%D0%C1%D2%B3%E1%BC%E8%B9%B4%D4%B9" TargetMode="External"/><Relationship Id="rId11" Type="http://schemas.openxmlformats.org/officeDocument/2006/relationships/hyperlink" Target="http://3dgf.lpru.ac.th/bgreport1/BG2562/SubBudgetPlan.php?Plan=1&amp;BudgetYear=2562&amp;ProjectID=04001&amp;PlanN=%E0%A7%D4%B9%A7%BA%BB%C3%D0%C1%D2%B3%E1%BC%E8%B9%B4%D4%B9" TargetMode="External"/><Relationship Id="rId5" Type="http://schemas.openxmlformats.org/officeDocument/2006/relationships/hyperlink" Target="http://3dgf.lpru.ac.th/bgreport1/BG2562/SubBudgetPlan.php?Plan=1&amp;BudgetYear=2562&amp;ProjectID=02102&amp;PlanN=%E0%A7%D4%B9%A7%BA%BB%C3%D0%C1%D2%B3%E1%BC%E8%B9%B4%D4%B9" TargetMode="External"/><Relationship Id="rId10" Type="http://schemas.openxmlformats.org/officeDocument/2006/relationships/hyperlink" Target="http://3dgf.lpru.ac.th/bgreport1/BG2562/SubBudgetPlan.php?Plan=1&amp;BudgetYear=2562&amp;ProjectID=03101&amp;PlanN=%E0%A7%D4%B9%A7%BA%BB%C3%D0%C1%D2%B3%E1%BC%E8%B9%B4%D4%B9" TargetMode="External"/><Relationship Id="rId4" Type="http://schemas.openxmlformats.org/officeDocument/2006/relationships/hyperlink" Target="http://3dgf.lpru.ac.th/bgreport1/BG2562/SubBudgetPlan.php?Plan=1&amp;BudgetYear=2562&amp;ProjectID=02101&amp;PlanN=%E0%A7%D4%B9%A7%BA%BB%C3%D0%C1%D2%B3%E1%BC%E8%B9%B4%D4%B9" TargetMode="External"/><Relationship Id="rId9" Type="http://schemas.openxmlformats.org/officeDocument/2006/relationships/hyperlink" Target="http://3dgf.lpru.ac.th/bgreport1/BG2562/SubBudgetPlan.php?Plan=1&amp;BudgetYear=2562&amp;ProjectID=03003&amp;PlanN=%E0%A7%D4%B9%A7%BA%BB%C3%D0%C1%D2%B3%E1%BC%E8%B9%B4%D4%B9"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3dgf.lpru.ac.th/bgreport1/BG2562/SubBudgetPlan.php?Plan=2&amp;BudgetYear=2562&amp;ProjectID=03001&amp;PlanN=%E0%A7%D4%B9%C3%D2%C2%E4%B4%E9" TargetMode="External"/><Relationship Id="rId3" Type="http://schemas.openxmlformats.org/officeDocument/2006/relationships/hyperlink" Target="http://3dgf.lpru.ac.th/bgreport1/BG2562/SubBudgetPlan.php?Plan=2&amp;BudgetYear=2562&amp;ProjectID=02002&amp;PlanN=%E0%A7%D4%B9%C3%D2%C2%E4%B4%E9" TargetMode="External"/><Relationship Id="rId7" Type="http://schemas.openxmlformats.org/officeDocument/2006/relationships/hyperlink" Target="http://3dgf.lpru.ac.th/bgreport1/BG2562/SubBudgetPlan.php?Plan=2&amp;BudgetYear=2562&amp;ProjectID=02201&amp;PlanN=%E0%A7%D4%B9%C3%D2%C2%E4%B4%E9" TargetMode="External"/><Relationship Id="rId12" Type="http://schemas.openxmlformats.org/officeDocument/2006/relationships/hyperlink" Target="http://3dgf.lpru.ac.th/bgreport1/BG2562/SubBudgetPlan.php?Plan=2&amp;BudgetYear=2562&amp;ProjectID=04001&amp;PlanN=%E0%A7%D4%B9%C3%D2%C2%E4%B4%E9" TargetMode="External"/><Relationship Id="rId2" Type="http://schemas.openxmlformats.org/officeDocument/2006/relationships/hyperlink" Target="http://3dgf.lpru.ac.th/bgreport1/BG2562/SubBudgetPlan.php?Plan=2&amp;BudgetYear=2562&amp;ProjectID=02001&amp;PlanN=%E0%A7%D4%B9%C3%D2%C2%E4%B4%E9" TargetMode="External"/><Relationship Id="rId1" Type="http://schemas.openxmlformats.org/officeDocument/2006/relationships/hyperlink" Target="http://3dgf.lpru.ac.th/bgreport1/BG2562/SubBudgetPlan.php?Plan=2&amp;BudgetYear=2562&amp;ProjectID=01001&amp;PlanN=%E0%A7%D4%B9%C3%D2%C2%E4%B4%E9" TargetMode="External"/><Relationship Id="rId6" Type="http://schemas.openxmlformats.org/officeDocument/2006/relationships/hyperlink" Target="http://3dgf.lpru.ac.th/bgreport1/BG2562/SubBudgetPlan.php?Plan=2&amp;BudgetYear=2562&amp;ProjectID=02103&amp;PlanN=%E0%A7%D4%B9%C3%D2%C2%E4%B4%E9" TargetMode="External"/><Relationship Id="rId11" Type="http://schemas.openxmlformats.org/officeDocument/2006/relationships/hyperlink" Target="http://3dgf.lpru.ac.th/bgreport1/BG2562/SubBudgetPlan.php?Plan=2&amp;BudgetYear=2562&amp;ProjectID=03101&amp;PlanN=%E0%A7%D4%B9%C3%D2%C2%E4%B4%E9" TargetMode="External"/><Relationship Id="rId5" Type="http://schemas.openxmlformats.org/officeDocument/2006/relationships/hyperlink" Target="http://3dgf.lpru.ac.th/bgreport1/BG2562/SubBudgetPlan.php?Plan=2&amp;BudgetYear=2562&amp;ProjectID=02102&amp;PlanN=%E0%A7%D4%B9%C3%D2%C2%E4%B4%E9" TargetMode="External"/><Relationship Id="rId10" Type="http://schemas.openxmlformats.org/officeDocument/2006/relationships/hyperlink" Target="http://3dgf.lpru.ac.th/bgreport1/BG2562/SubBudgetPlan.php?Plan=2&amp;BudgetYear=2562&amp;ProjectID=03003&amp;PlanN=%E0%A7%D4%B9%C3%D2%C2%E4%B4%E9" TargetMode="External"/><Relationship Id="rId4" Type="http://schemas.openxmlformats.org/officeDocument/2006/relationships/hyperlink" Target="http://3dgf.lpru.ac.th/bgreport1/BG2562/SubBudgetPlan.php?Plan=2&amp;BudgetYear=2562&amp;ProjectID=02101&amp;PlanN=%E0%A7%D4%B9%C3%D2%C2%E4%B4%E9" TargetMode="External"/><Relationship Id="rId9" Type="http://schemas.openxmlformats.org/officeDocument/2006/relationships/hyperlink" Target="http://3dgf.lpru.ac.th/bgreport1/BG2562/SubBudgetPlan.php?Plan=2&amp;BudgetYear=2562&amp;ProjectID=03002&amp;PlanN=%E0%A7%D4%B9%C3%D2%C2%E4%B4%E9"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opLeftCell="A4" workbookViewId="0">
      <selection activeCell="K7" sqref="K7"/>
    </sheetView>
  </sheetViews>
  <sheetFormatPr defaultRowHeight="14.25"/>
  <sheetData>
    <row r="1" spans="1:14" ht="32.25">
      <c r="A1" s="1"/>
      <c r="K1" s="455" t="s">
        <v>85</v>
      </c>
      <c r="L1" s="455"/>
      <c r="M1" s="455"/>
      <c r="N1" s="455"/>
    </row>
    <row r="2" spans="1:14" ht="31.5" customHeight="1">
      <c r="A2" s="8"/>
    </row>
    <row r="3" spans="1:14" ht="31.5" customHeight="1">
      <c r="A3" s="8"/>
    </row>
    <row r="4" spans="1:14" ht="31.5" customHeight="1">
      <c r="A4" s="8"/>
    </row>
    <row r="5" spans="1:14" ht="31.5" customHeight="1">
      <c r="A5" s="8"/>
    </row>
    <row r="6" spans="1:14" ht="31.5" customHeight="1">
      <c r="A6" s="1"/>
    </row>
    <row r="7" spans="1:14" ht="31.5" customHeight="1">
      <c r="A7" s="1"/>
    </row>
    <row r="8" spans="1:14" ht="30">
      <c r="A8" s="456" t="s">
        <v>361</v>
      </c>
      <c r="B8" s="456"/>
      <c r="C8" s="456"/>
      <c r="D8" s="456"/>
      <c r="E8" s="456"/>
      <c r="F8" s="456"/>
      <c r="G8" s="456"/>
      <c r="H8" s="456"/>
      <c r="I8" s="456"/>
      <c r="J8" s="456"/>
      <c r="K8" s="456"/>
      <c r="L8" s="456"/>
      <c r="M8" s="456"/>
      <c r="N8" s="456"/>
    </row>
    <row r="9" spans="1:14" ht="30">
      <c r="A9" s="456" t="s">
        <v>71</v>
      </c>
      <c r="B9" s="456"/>
      <c r="C9" s="456"/>
      <c r="D9" s="456"/>
      <c r="E9" s="456"/>
      <c r="F9" s="456"/>
      <c r="G9" s="456"/>
      <c r="H9" s="456"/>
      <c r="I9" s="456"/>
      <c r="J9" s="456"/>
      <c r="K9" s="456"/>
      <c r="L9" s="456"/>
      <c r="M9" s="456"/>
      <c r="N9" s="456"/>
    </row>
    <row r="10" spans="1:14" ht="30">
      <c r="A10" s="456" t="s">
        <v>436</v>
      </c>
      <c r="B10" s="456"/>
      <c r="C10" s="456"/>
      <c r="D10" s="456"/>
      <c r="E10" s="456"/>
      <c r="F10" s="456"/>
      <c r="G10" s="456"/>
      <c r="H10" s="456"/>
      <c r="I10" s="456"/>
      <c r="J10" s="456"/>
      <c r="K10" s="456"/>
      <c r="L10" s="456"/>
      <c r="M10" s="456"/>
      <c r="N10" s="456"/>
    </row>
    <row r="11" spans="1:14" ht="30">
      <c r="A11" s="456" t="s">
        <v>437</v>
      </c>
      <c r="B11" s="456"/>
      <c r="C11" s="456"/>
      <c r="D11" s="456"/>
      <c r="E11" s="456"/>
      <c r="F11" s="456"/>
      <c r="G11" s="456"/>
      <c r="H11" s="456"/>
      <c r="I11" s="456"/>
      <c r="J11" s="456"/>
      <c r="K11" s="456"/>
      <c r="L11" s="456"/>
      <c r="M11" s="456"/>
      <c r="N11" s="456"/>
    </row>
    <row r="12" spans="1:14" ht="23.25" customHeight="1">
      <c r="A12" s="1"/>
    </row>
    <row r="13" spans="1:14" ht="23.25" customHeight="1">
      <c r="A13" s="1"/>
    </row>
    <row r="14" spans="1:14" ht="23.25" customHeight="1">
      <c r="A14" s="1"/>
    </row>
    <row r="15" spans="1:14">
      <c r="A15" s="1"/>
    </row>
    <row r="16" spans="1:14" ht="30">
      <c r="A16" s="454" t="s">
        <v>72</v>
      </c>
      <c r="B16" s="454"/>
      <c r="C16" s="454"/>
      <c r="D16" s="454"/>
      <c r="E16" s="454"/>
      <c r="F16" s="454"/>
      <c r="G16" s="454"/>
      <c r="H16" s="454"/>
      <c r="I16" s="454"/>
      <c r="J16" s="454"/>
      <c r="K16" s="454"/>
      <c r="L16" s="454"/>
      <c r="M16" s="454"/>
      <c r="N16" s="454"/>
    </row>
    <row r="17" spans="1:14" ht="30">
      <c r="A17" s="454" t="s">
        <v>362</v>
      </c>
      <c r="B17" s="454"/>
      <c r="C17" s="454"/>
      <c r="D17" s="454"/>
      <c r="E17" s="454"/>
      <c r="F17" s="454"/>
      <c r="G17" s="454"/>
      <c r="H17" s="454"/>
      <c r="I17" s="454"/>
      <c r="J17" s="454"/>
      <c r="K17" s="454"/>
      <c r="L17" s="454"/>
      <c r="M17" s="454"/>
      <c r="N17" s="454"/>
    </row>
  </sheetData>
  <mergeCells count="7">
    <mergeCell ref="A16:N16"/>
    <mergeCell ref="A17:N17"/>
    <mergeCell ref="K1:N1"/>
    <mergeCell ref="A8:N8"/>
    <mergeCell ref="A9:N9"/>
    <mergeCell ref="A10:N10"/>
    <mergeCell ref="A11:N11"/>
  </mergeCells>
  <pageMargins left="0.70866141732283472" right="0.1574803149606299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31"/>
  <sheetViews>
    <sheetView view="pageBreakPreview" topLeftCell="A112" zoomScale="120" zoomScaleNormal="110" zoomScaleSheetLayoutView="120" workbookViewId="0">
      <selection activeCell="A108" sqref="A108"/>
    </sheetView>
  </sheetViews>
  <sheetFormatPr defaultRowHeight="18" customHeight="1"/>
  <cols>
    <col min="1" max="1" width="28.75" style="19" customWidth="1"/>
    <col min="2" max="7" width="14.625" style="19" customWidth="1"/>
    <col min="8" max="8" width="11.875" style="19" bestFit="1" customWidth="1"/>
    <col min="9" max="9" width="20.125" style="19" customWidth="1"/>
    <col min="10" max="10" width="13.625" style="19" customWidth="1"/>
    <col min="11" max="16384" width="9" style="19"/>
  </cols>
  <sheetData>
    <row r="1" spans="1:9" ht="18" customHeight="1">
      <c r="A1" s="45" t="s">
        <v>36</v>
      </c>
      <c r="B1" s="44"/>
      <c r="C1" s="44"/>
      <c r="D1" s="44"/>
      <c r="E1" s="44"/>
      <c r="F1" s="44"/>
      <c r="G1" s="44"/>
    </row>
    <row r="2" spans="1:9" ht="18" customHeight="1">
      <c r="A2" s="517" t="s">
        <v>18</v>
      </c>
      <c r="B2" s="517" t="s">
        <v>37</v>
      </c>
      <c r="C2" s="517"/>
      <c r="D2" s="517"/>
      <c r="E2" s="517"/>
      <c r="F2" s="517"/>
      <c r="G2" s="517"/>
    </row>
    <row r="3" spans="1:9" ht="18" customHeight="1">
      <c r="A3" s="517"/>
      <c r="B3" s="64" t="s">
        <v>10</v>
      </c>
      <c r="C3" s="64" t="s">
        <v>13</v>
      </c>
      <c r="D3" s="64" t="s">
        <v>14</v>
      </c>
      <c r="E3" s="64" t="s">
        <v>15</v>
      </c>
      <c r="F3" s="64" t="s">
        <v>16</v>
      </c>
      <c r="G3" s="64" t="s">
        <v>38</v>
      </c>
    </row>
    <row r="4" spans="1:9" ht="18" customHeight="1">
      <c r="A4" s="55" t="s">
        <v>39</v>
      </c>
      <c r="B4" s="56"/>
      <c r="C4" s="56"/>
      <c r="D4" s="56"/>
      <c r="E4" s="56"/>
      <c r="F4" s="56"/>
      <c r="G4" s="56"/>
    </row>
    <row r="5" spans="1:9" ht="18" customHeight="1">
      <c r="A5" s="51" t="s">
        <v>40</v>
      </c>
      <c r="B5" s="50">
        <v>0</v>
      </c>
      <c r="C5" s="50">
        <f>SUM(แผ่นดิน!D13:E13)</f>
        <v>1874420</v>
      </c>
      <c r="D5" s="50">
        <f>SUM(แผ่นดิน!F13:G13)</f>
        <v>449100</v>
      </c>
      <c r="E5" s="50">
        <f>SUM(แผ่นดิน!H13)</f>
        <v>0</v>
      </c>
      <c r="F5" s="50">
        <f>SUM(แผ่นดิน!I13)</f>
        <v>10704781.359999999</v>
      </c>
      <c r="G5" s="50">
        <f>SUM(B5:F5)</f>
        <v>13028301.359999999</v>
      </c>
      <c r="I5" s="19">
        <f>แผ่นดิน!J14</f>
        <v>8338391.2400000002</v>
      </c>
    </row>
    <row r="6" spans="1:9" ht="18" customHeight="1">
      <c r="A6" s="57" t="s">
        <v>41</v>
      </c>
      <c r="B6" s="53">
        <v>0</v>
      </c>
      <c r="C6" s="87">
        <f>SUM(แผ่นดิน!M13:N13)</f>
        <v>1844841.2</v>
      </c>
      <c r="D6" s="87">
        <f>SUM(แผ่นดิน!O13:P13)</f>
        <v>449100</v>
      </c>
      <c r="E6" s="87">
        <f>SUM(แผ่นดิน!Q13)</f>
        <v>0</v>
      </c>
      <c r="F6" s="87">
        <f>SUM(แผ่นดิน!R13)</f>
        <v>10704781.359999999</v>
      </c>
      <c r="G6" s="87">
        <f>SUM(B6:F6)</f>
        <v>12998722.559999999</v>
      </c>
    </row>
    <row r="7" spans="1:9" ht="18" customHeight="1">
      <c r="A7" s="51" t="s">
        <v>42</v>
      </c>
      <c r="B7" s="50">
        <v>0</v>
      </c>
      <c r="C7" s="50">
        <f>SUM(C5-C6)</f>
        <v>29578.800000000047</v>
      </c>
      <c r="D7" s="50">
        <f>SUM(D5-D6)</f>
        <v>0</v>
      </c>
      <c r="E7" s="50">
        <f>SUM(E5-E6)</f>
        <v>0</v>
      </c>
      <c r="F7" s="50">
        <f>SUM(F5-F6)</f>
        <v>0</v>
      </c>
      <c r="G7" s="50">
        <f>SUM(B7:F7)</f>
        <v>29578.800000000047</v>
      </c>
    </row>
    <row r="8" spans="1:9" ht="18" customHeight="1">
      <c r="A8" s="58" t="s">
        <v>43</v>
      </c>
      <c r="B8" s="59">
        <v>0</v>
      </c>
      <c r="C8" s="59">
        <f>SUM((C6/C5)*100)</f>
        <v>98.42197586453409</v>
      </c>
      <c r="D8" s="59">
        <f>SUM((D6/D5)*100)</f>
        <v>100</v>
      </c>
      <c r="E8" s="59">
        <v>0</v>
      </c>
      <c r="F8" s="59">
        <f>SUM((F6/F5)*100)</f>
        <v>100</v>
      </c>
      <c r="G8" s="59">
        <f>SUM((G6/G5)*100)</f>
        <v>99.772965030646162</v>
      </c>
    </row>
    <row r="9" spans="1:9" ht="18" customHeight="1">
      <c r="A9" s="55" t="s">
        <v>44</v>
      </c>
      <c r="B9" s="56"/>
      <c r="C9" s="56"/>
      <c r="D9" s="56"/>
      <c r="E9" s="56"/>
      <c r="F9" s="56"/>
      <c r="G9" s="56"/>
    </row>
    <row r="10" spans="1:9" ht="18" customHeight="1">
      <c r="A10" s="51" t="s">
        <v>40</v>
      </c>
      <c r="B10" s="50">
        <v>0</v>
      </c>
      <c r="C10" s="50">
        <f>SUM(แผ่นดิน!D27:E27)</f>
        <v>1978815</v>
      </c>
      <c r="D10" s="50">
        <f>SUM(แผ่นดิน!F27:G27)</f>
        <v>2922300</v>
      </c>
      <c r="E10" s="50">
        <f>SUM(แผ่นดิน!H27)</f>
        <v>2029000</v>
      </c>
      <c r="F10" s="50">
        <f>SUM(แผ่นดิน!I27)</f>
        <v>6587029.6799999997</v>
      </c>
      <c r="G10" s="50">
        <f>SUM(B10:F10)</f>
        <v>13517144.68</v>
      </c>
      <c r="I10" s="19">
        <f>แผ่นดิน!J29</f>
        <v>129748</v>
      </c>
    </row>
    <row r="11" spans="1:9" ht="18" customHeight="1">
      <c r="A11" s="57" t="s">
        <v>41</v>
      </c>
      <c r="B11" s="53">
        <v>0</v>
      </c>
      <c r="C11" s="87">
        <f>SUM(แผ่นดิน!M27:N27)</f>
        <v>1897223.32</v>
      </c>
      <c r="D11" s="87">
        <f>SUM(แผ่นดิน!O27:P27)</f>
        <v>2054800</v>
      </c>
      <c r="E11" s="87">
        <f>SUM(แผ่นดิน!Q27)</f>
        <v>2029000</v>
      </c>
      <c r="F11" s="87">
        <f>SUM(แผ่นดิน!R27)</f>
        <v>6587029.6799999997</v>
      </c>
      <c r="G11" s="87">
        <f>SUM(B11:F11)</f>
        <v>12568053</v>
      </c>
    </row>
    <row r="12" spans="1:9" ht="18" customHeight="1">
      <c r="A12" s="51" t="s">
        <v>42</v>
      </c>
      <c r="B12" s="50">
        <v>0</v>
      </c>
      <c r="C12" s="50">
        <f>SUM(C10-C11)</f>
        <v>81591.679999999935</v>
      </c>
      <c r="D12" s="50">
        <f>SUM(D10-D11)</f>
        <v>867500</v>
      </c>
      <c r="E12" s="50">
        <f>SUM(E10-E11)</f>
        <v>0</v>
      </c>
      <c r="F12" s="50">
        <f>SUM(F10-F11)</f>
        <v>0</v>
      </c>
      <c r="G12" s="50">
        <f>SUM(G10-G11)</f>
        <v>949091.6799999997</v>
      </c>
    </row>
    <row r="13" spans="1:9" ht="18" customHeight="1">
      <c r="A13" s="58" t="s">
        <v>43</v>
      </c>
      <c r="B13" s="59">
        <v>0</v>
      </c>
      <c r="C13" s="59">
        <f>SUM((C11/C10)*100)</f>
        <v>95.876740372394593</v>
      </c>
      <c r="D13" s="59">
        <f t="shared" ref="D13:F13" si="0">SUM((D11/D10)*100)</f>
        <v>70.314478321869757</v>
      </c>
      <c r="E13" s="59">
        <f t="shared" si="0"/>
        <v>100</v>
      </c>
      <c r="F13" s="59">
        <f t="shared" si="0"/>
        <v>100</v>
      </c>
      <c r="G13" s="59">
        <f>SUM((G11/G10)*100)</f>
        <v>92.978608260335648</v>
      </c>
    </row>
    <row r="14" spans="1:9" ht="18" customHeight="1">
      <c r="A14" s="55" t="s">
        <v>45</v>
      </c>
      <c r="B14" s="56"/>
      <c r="C14" s="56"/>
      <c r="D14" s="56"/>
      <c r="E14" s="56"/>
      <c r="F14" s="56"/>
      <c r="G14" s="56"/>
    </row>
    <row r="15" spans="1:9" ht="18" customHeight="1">
      <c r="A15" s="51" t="s">
        <v>40</v>
      </c>
      <c r="B15" s="50">
        <v>0</v>
      </c>
      <c r="C15" s="50">
        <f>SUM(แผ่นดิน!D41:E41)</f>
        <v>3436100</v>
      </c>
      <c r="D15" s="50">
        <f>SUM(แผ่นดิน!F41:G41)</f>
        <v>1469100</v>
      </c>
      <c r="E15" s="50">
        <f>SUM(แผ่นดิน!H41)</f>
        <v>1596400</v>
      </c>
      <c r="F15" s="50">
        <f>SUM(แผ่นดิน!I41)</f>
        <v>4455603.2</v>
      </c>
      <c r="G15" s="50">
        <f>SUM(B15:F15)</f>
        <v>10957203.199999999</v>
      </c>
      <c r="I15" s="19">
        <f>แผ่นดิน!J44</f>
        <v>102410</v>
      </c>
    </row>
    <row r="16" spans="1:9" ht="18" customHeight="1">
      <c r="A16" s="57" t="s">
        <v>41</v>
      </c>
      <c r="B16" s="53">
        <v>0</v>
      </c>
      <c r="C16" s="87">
        <f>SUM(แผ่นดิน!M41:N41)</f>
        <v>3023919.9600000004</v>
      </c>
      <c r="D16" s="87">
        <f>SUM(แผ่นดิน!O41:P41)</f>
        <v>1469100</v>
      </c>
      <c r="E16" s="87">
        <f>SUM(แผ่นดิน!Q41)</f>
        <v>1596400</v>
      </c>
      <c r="F16" s="87">
        <f>SUM(แผ่นดิน!R41)</f>
        <v>4455603.2</v>
      </c>
      <c r="G16" s="87">
        <f>SUM(B16:F16)</f>
        <v>10545023.16</v>
      </c>
    </row>
    <row r="17" spans="1:9" ht="18" customHeight="1">
      <c r="A17" s="51" t="s">
        <v>42</v>
      </c>
      <c r="B17" s="50">
        <v>0</v>
      </c>
      <c r="C17" s="50">
        <f>SUM(C15-C16)</f>
        <v>412180.03999999957</v>
      </c>
      <c r="D17" s="50">
        <f>SUM(D15-D16)</f>
        <v>0</v>
      </c>
      <c r="E17" s="50">
        <f>SUM(E15-E16)</f>
        <v>0</v>
      </c>
      <c r="F17" s="50">
        <f>SUM(F15-F16)</f>
        <v>0</v>
      </c>
      <c r="G17" s="50">
        <f>SUM(G15-G16)</f>
        <v>412180.03999999911</v>
      </c>
    </row>
    <row r="18" spans="1:9" ht="18" customHeight="1">
      <c r="A18" s="58" t="s">
        <v>43</v>
      </c>
      <c r="B18" s="59">
        <v>0</v>
      </c>
      <c r="C18" s="59">
        <f>SUM((C16/C15)*100)</f>
        <v>88.004422455691056</v>
      </c>
      <c r="D18" s="59">
        <f t="shared" ref="D18:G18" si="1">SUM((D16/D15)*100)</f>
        <v>100</v>
      </c>
      <c r="E18" s="59">
        <f t="shared" si="1"/>
        <v>100</v>
      </c>
      <c r="F18" s="59">
        <f t="shared" si="1"/>
        <v>100</v>
      </c>
      <c r="G18" s="59">
        <f t="shared" si="1"/>
        <v>96.238273284920012</v>
      </c>
    </row>
    <row r="19" spans="1:9" ht="18" customHeight="1">
      <c r="A19" s="55" t="s">
        <v>46</v>
      </c>
      <c r="B19" s="56"/>
      <c r="C19" s="56"/>
      <c r="D19" s="56"/>
      <c r="E19" s="56"/>
      <c r="F19" s="56"/>
      <c r="G19" s="56"/>
    </row>
    <row r="20" spans="1:9" ht="18" customHeight="1">
      <c r="A20" s="51" t="s">
        <v>40</v>
      </c>
      <c r="B20" s="50">
        <v>0</v>
      </c>
      <c r="C20" s="50">
        <f>SUM(แผ่นดิน!D54:E54)</f>
        <v>1787200</v>
      </c>
      <c r="D20" s="50">
        <f>SUM(แผ่นดิน!F54:G54)</f>
        <v>970700</v>
      </c>
      <c r="E20" s="50">
        <f>SUM(แผ่นดิน!H54)</f>
        <v>1774400</v>
      </c>
      <c r="F20" s="50">
        <f>SUM(แผ่นดิน!I54)</f>
        <v>5450986</v>
      </c>
      <c r="G20" s="50">
        <f>SUM(B20:F20)</f>
        <v>9983286</v>
      </c>
      <c r="I20" s="19">
        <f>แผ่นดิน!J58</f>
        <v>407550</v>
      </c>
    </row>
    <row r="21" spans="1:9" ht="18" customHeight="1">
      <c r="A21" s="57" t="s">
        <v>41</v>
      </c>
      <c r="B21" s="53">
        <v>0</v>
      </c>
      <c r="C21" s="87">
        <f>SUM(แผ่นดิน!M54:N54)</f>
        <v>1778957.24</v>
      </c>
      <c r="D21" s="87">
        <f>SUM(แผ่นดิน!O54:P54)</f>
        <v>970700</v>
      </c>
      <c r="E21" s="87">
        <f>SUM(แผ่นดิน!Q54)</f>
        <v>1774400</v>
      </c>
      <c r="F21" s="87">
        <f>SUM(แผ่นดิน!R54)</f>
        <v>5450986</v>
      </c>
      <c r="G21" s="87">
        <f>SUM(B21:F21)</f>
        <v>9975043.2400000002</v>
      </c>
    </row>
    <row r="22" spans="1:9" ht="18" customHeight="1">
      <c r="A22" s="51" t="s">
        <v>42</v>
      </c>
      <c r="B22" s="50">
        <v>0</v>
      </c>
      <c r="C22" s="50">
        <f>SUM(C20-C21)</f>
        <v>8242.7600000000093</v>
      </c>
      <c r="D22" s="50">
        <f>SUM(D20-D21)</f>
        <v>0</v>
      </c>
      <c r="E22" s="50">
        <f>SUM(E20-E21)</f>
        <v>0</v>
      </c>
      <c r="F22" s="50">
        <f>SUM(F20-F21)</f>
        <v>0</v>
      </c>
      <c r="G22" s="50">
        <f>SUM(G20-G21)</f>
        <v>8242.7599999997765</v>
      </c>
    </row>
    <row r="23" spans="1:9" ht="18" customHeight="1">
      <c r="A23" s="58" t="s">
        <v>43</v>
      </c>
      <c r="B23" s="59">
        <v>0</v>
      </c>
      <c r="C23" s="59">
        <f>SUM((C21/C20)*100)</f>
        <v>99.538789167412716</v>
      </c>
      <c r="D23" s="59">
        <f>SUM((D21/D20)*100)</f>
        <v>100</v>
      </c>
      <c r="E23" s="59">
        <f>SUM((E21/E20)*100)</f>
        <v>100</v>
      </c>
      <c r="F23" s="59">
        <f>SUM((F21/F20)*100)</f>
        <v>100</v>
      </c>
      <c r="G23" s="59">
        <f>SUM((G21/G20)*100)</f>
        <v>99.917434399855921</v>
      </c>
    </row>
    <row r="24" spans="1:9" ht="18" customHeight="1">
      <c r="A24" s="55" t="s">
        <v>47</v>
      </c>
      <c r="B24" s="56"/>
      <c r="C24" s="56"/>
      <c r="D24" s="56"/>
      <c r="E24" s="56"/>
      <c r="F24" s="56"/>
      <c r="G24" s="56"/>
    </row>
    <row r="25" spans="1:9" ht="18" customHeight="1">
      <c r="A25" s="51" t="s">
        <v>40</v>
      </c>
      <c r="B25" s="50">
        <v>0</v>
      </c>
      <c r="C25" s="50">
        <f>SUM(แผ่นดิน!D65:E65)</f>
        <v>1007200</v>
      </c>
      <c r="D25" s="50">
        <f>SUM(แผ่นดิน!F65:G65)</f>
        <v>2676000</v>
      </c>
      <c r="E25" s="50">
        <f>SUM(แผ่นดิน!H65)</f>
        <v>2423600</v>
      </c>
      <c r="F25" s="50">
        <f>SUM(แผ่นดิน!I65)</f>
        <v>2265617.25</v>
      </c>
      <c r="G25" s="50">
        <f>SUM(B25:F25)</f>
        <v>8372417.25</v>
      </c>
      <c r="I25" s="19">
        <f>แผ่นดิน!J70</f>
        <v>199968.4</v>
      </c>
    </row>
    <row r="26" spans="1:9" ht="18" customHeight="1">
      <c r="A26" s="57" t="s">
        <v>41</v>
      </c>
      <c r="B26" s="53">
        <v>0</v>
      </c>
      <c r="C26" s="87">
        <f>SUM(แผ่นดิน!M65:N65)</f>
        <v>976926.4</v>
      </c>
      <c r="D26" s="87">
        <f>SUM(แผ่นดิน!O65:P65)</f>
        <v>2676000</v>
      </c>
      <c r="E26" s="87">
        <f>SUM(แผ่นดิน!Q65)</f>
        <v>2423600</v>
      </c>
      <c r="F26" s="87">
        <f>SUM(แผ่นดิน!R65)</f>
        <v>2265617.25</v>
      </c>
      <c r="G26" s="87">
        <f>SUM(B26:F26)</f>
        <v>8342143.6500000004</v>
      </c>
    </row>
    <row r="27" spans="1:9" ht="18" customHeight="1">
      <c r="A27" s="51" t="s">
        <v>42</v>
      </c>
      <c r="B27" s="50">
        <v>0</v>
      </c>
      <c r="C27" s="50">
        <f>SUM(C25-C26)</f>
        <v>30273.599999999977</v>
      </c>
      <c r="D27" s="50">
        <f>SUM(D25-D26)</f>
        <v>0</v>
      </c>
      <c r="E27" s="50">
        <f>SUM(E25-E26)</f>
        <v>0</v>
      </c>
      <c r="F27" s="50">
        <f>SUM(F25-F26)</f>
        <v>0</v>
      </c>
      <c r="G27" s="50">
        <f>SUM(G25-G26)</f>
        <v>30273.599999999627</v>
      </c>
    </row>
    <row r="28" spans="1:9" ht="18" customHeight="1">
      <c r="A28" s="58" t="s">
        <v>43</v>
      </c>
      <c r="B28" s="59">
        <v>0</v>
      </c>
      <c r="C28" s="59">
        <f>SUM((C26/C25)*100)</f>
        <v>96.994281175536145</v>
      </c>
      <c r="D28" s="59">
        <f>SUM((D26/D25)*100)</f>
        <v>100</v>
      </c>
      <c r="E28" s="59">
        <f>SUM((E26/E25)*100)</f>
        <v>100</v>
      </c>
      <c r="F28" s="59">
        <f>SUM((F26/F25)*100)</f>
        <v>100</v>
      </c>
      <c r="G28" s="59">
        <f>SUM((G26/G25)*100)</f>
        <v>99.638412669889334</v>
      </c>
    </row>
    <row r="29" spans="1:9" ht="18" customHeight="1">
      <c r="A29" s="55" t="s">
        <v>48</v>
      </c>
      <c r="B29" s="56"/>
      <c r="C29" s="56"/>
      <c r="D29" s="56"/>
      <c r="E29" s="56"/>
      <c r="F29" s="56"/>
      <c r="G29" s="56"/>
    </row>
    <row r="30" spans="1:9" ht="18" customHeight="1">
      <c r="A30" s="51" t="s">
        <v>40</v>
      </c>
      <c r="B30" s="50">
        <v>0</v>
      </c>
      <c r="C30" s="50">
        <f>SUM(แผ่นดิน!D71:E71)</f>
        <v>223125</v>
      </c>
      <c r="D30" s="50">
        <f>SUM(แผ่นดิน!F71:G71)</f>
        <v>1487600</v>
      </c>
      <c r="E30" s="50">
        <f>SUM(แผ่นดิน!H71)</f>
        <v>0</v>
      </c>
      <c r="F30" s="50">
        <f>SUM(แผ่นดิน!I71)</f>
        <v>3712386.4099999997</v>
      </c>
      <c r="G30" s="50">
        <f>SUM(B30:F30)</f>
        <v>5423111.4100000001</v>
      </c>
      <c r="I30" s="19">
        <f>แผ่นดิน!J79</f>
        <v>15000</v>
      </c>
    </row>
    <row r="31" spans="1:9" ht="18" customHeight="1">
      <c r="A31" s="57" t="s">
        <v>41</v>
      </c>
      <c r="B31" s="53">
        <v>0</v>
      </c>
      <c r="C31" s="87">
        <f>SUM(แผ่นดิน!M71:N71)</f>
        <v>220577.95</v>
      </c>
      <c r="D31" s="87">
        <f>SUM(แผ่นดิน!O71:P71)</f>
        <v>653000</v>
      </c>
      <c r="E31" s="87">
        <f>SUM(แผ่นดิน!Q71)</f>
        <v>0</v>
      </c>
      <c r="F31" s="87">
        <f>SUM(แผ่นดิน!R71)</f>
        <v>3712386.4099999997</v>
      </c>
      <c r="G31" s="87">
        <f>SUM(B31:F31)</f>
        <v>4585964.3599999994</v>
      </c>
    </row>
    <row r="32" spans="1:9" ht="18" customHeight="1">
      <c r="A32" s="51" t="s">
        <v>42</v>
      </c>
      <c r="B32" s="50">
        <v>0</v>
      </c>
      <c r="C32" s="50">
        <f>SUM(C30-C31)</f>
        <v>2547.0499999999884</v>
      </c>
      <c r="D32" s="50">
        <f>SUM(D30-D31)</f>
        <v>834600</v>
      </c>
      <c r="E32" s="50">
        <f>SUM(E30-E31)</f>
        <v>0</v>
      </c>
      <c r="F32" s="50">
        <f>SUM(F30-F31)</f>
        <v>0</v>
      </c>
      <c r="G32" s="50">
        <f>SUM(G30-G31)</f>
        <v>837147.05000000075</v>
      </c>
    </row>
    <row r="33" spans="1:7" ht="18" customHeight="1">
      <c r="A33" s="58" t="s">
        <v>43</v>
      </c>
      <c r="B33" s="59">
        <v>0</v>
      </c>
      <c r="C33" s="59">
        <f>SUM((C31/C30)*100)</f>
        <v>98.858464985994402</v>
      </c>
      <c r="D33" s="59">
        <f t="shared" ref="D33:G33" si="2">SUM((D31/D30)*100)</f>
        <v>43.896208658241463</v>
      </c>
      <c r="E33" s="59">
        <v>0</v>
      </c>
      <c r="F33" s="59">
        <f t="shared" si="2"/>
        <v>100</v>
      </c>
      <c r="G33" s="59">
        <f t="shared" si="2"/>
        <v>84.563344052708658</v>
      </c>
    </row>
    <row r="34" spans="1:7" ht="18" customHeight="1">
      <c r="A34" s="66" t="s">
        <v>49</v>
      </c>
      <c r="B34" s="56"/>
      <c r="C34" s="56"/>
      <c r="D34" s="56"/>
      <c r="E34" s="56"/>
      <c r="F34" s="56"/>
      <c r="G34" s="56"/>
    </row>
    <row r="35" spans="1:7" ht="18" customHeight="1">
      <c r="A35" s="51" t="s">
        <v>40</v>
      </c>
      <c r="B35" s="50">
        <v>0</v>
      </c>
      <c r="C35" s="50">
        <f>SUM(แผ่นดิน!D75:E75)</f>
        <v>600000</v>
      </c>
      <c r="D35" s="50">
        <f>SUM(แผ่นดิน!F75:G75)</f>
        <v>1812500</v>
      </c>
      <c r="E35" s="50">
        <f>SUM(แผ่นดิน!H75)</f>
        <v>0</v>
      </c>
      <c r="F35" s="50">
        <f>SUM(แผ่นดิน!I75)</f>
        <v>3194474.14</v>
      </c>
      <c r="G35" s="50">
        <f>SUM(B35:F35)</f>
        <v>5606974.1400000006</v>
      </c>
    </row>
    <row r="36" spans="1:7" ht="18" customHeight="1">
      <c r="A36" s="57" t="s">
        <v>41</v>
      </c>
      <c r="B36" s="53">
        <v>0</v>
      </c>
      <c r="C36" s="87">
        <f>SUM(แผ่นดิน!M75:N75)</f>
        <v>593561.28</v>
      </c>
      <c r="D36" s="87">
        <f>SUM(แผ่นดิน!O75:P75)</f>
        <v>1812500</v>
      </c>
      <c r="E36" s="87">
        <f>SUM(แผ่นดิน!Q75)</f>
        <v>0</v>
      </c>
      <c r="F36" s="87">
        <f>SUM(แผ่นดิน!R75)</f>
        <v>3194474.14</v>
      </c>
      <c r="G36" s="87">
        <f>SUM(B36:F36)</f>
        <v>5600535.4199999999</v>
      </c>
    </row>
    <row r="37" spans="1:7" ht="18" customHeight="1">
      <c r="A37" s="51" t="s">
        <v>42</v>
      </c>
      <c r="B37" s="50">
        <v>0</v>
      </c>
      <c r="C37" s="50">
        <f>SUM(C35-C36)</f>
        <v>6438.7199999999721</v>
      </c>
      <c r="D37" s="50">
        <f>SUM(D35-D36)</f>
        <v>0</v>
      </c>
      <c r="E37" s="50">
        <f>SUM(E35-E36)</f>
        <v>0</v>
      </c>
      <c r="F37" s="50">
        <f>SUM(F35-F36)</f>
        <v>0</v>
      </c>
      <c r="G37" s="50">
        <f>SUM(B37:F37)</f>
        <v>6438.7199999999721</v>
      </c>
    </row>
    <row r="38" spans="1:7" ht="18" customHeight="1">
      <c r="A38" s="58" t="s">
        <v>43</v>
      </c>
      <c r="B38" s="59">
        <v>0</v>
      </c>
      <c r="C38" s="59">
        <f>SUM((C36/C35)*100)</f>
        <v>98.926880000000011</v>
      </c>
      <c r="D38" s="59">
        <f>SUM((D36/D35)*100)</f>
        <v>100</v>
      </c>
      <c r="E38" s="59">
        <v>0</v>
      </c>
      <c r="F38" s="59">
        <f>SUM((F36/F35)*100)</f>
        <v>100</v>
      </c>
      <c r="G38" s="59">
        <f>SUM((G36/G35)*100)</f>
        <v>99.885165869518332</v>
      </c>
    </row>
    <row r="39" spans="1:7" ht="18" customHeight="1">
      <c r="A39" s="55" t="s">
        <v>50</v>
      </c>
      <c r="B39" s="56"/>
      <c r="C39" s="56"/>
      <c r="D39" s="56"/>
      <c r="E39" s="56"/>
      <c r="F39" s="56"/>
      <c r="G39" s="56"/>
    </row>
    <row r="40" spans="1:7" ht="18" customHeight="1">
      <c r="A40" s="51" t="s">
        <v>40</v>
      </c>
      <c r="B40" s="50">
        <v>0</v>
      </c>
      <c r="C40" s="50">
        <f>SUM(0)</f>
        <v>0</v>
      </c>
      <c r="D40" s="50">
        <f>SUM(0)</f>
        <v>0</v>
      </c>
      <c r="E40" s="50">
        <f>SUM(แผ่นดิน!H98)</f>
        <v>0</v>
      </c>
      <c r="F40" s="50">
        <f>SUM(แผ่นดิน!I78)</f>
        <v>430471.9</v>
      </c>
      <c r="G40" s="50">
        <f>SUM(B40:F40)</f>
        <v>430471.9</v>
      </c>
    </row>
    <row r="41" spans="1:7" ht="18" customHeight="1">
      <c r="A41" s="57" t="s">
        <v>41</v>
      </c>
      <c r="B41" s="53">
        <v>0</v>
      </c>
      <c r="C41" s="87">
        <f>SUM(0)</f>
        <v>0</v>
      </c>
      <c r="D41" s="87">
        <f>SUM(0)</f>
        <v>0</v>
      </c>
      <c r="E41" s="87">
        <f>SUM(แผ่นดิน!Q98)</f>
        <v>0</v>
      </c>
      <c r="F41" s="87">
        <f>SUM(แผ่นดิน!R78)</f>
        <v>430471.9</v>
      </c>
      <c r="G41" s="87">
        <f>SUM(B41:F41)</f>
        <v>430471.9</v>
      </c>
    </row>
    <row r="42" spans="1:7" ht="18" customHeight="1">
      <c r="A42" s="51" t="s">
        <v>42</v>
      </c>
      <c r="B42" s="50">
        <v>0</v>
      </c>
      <c r="C42" s="50">
        <f>SUM(C40-C41)</f>
        <v>0</v>
      </c>
      <c r="D42" s="50">
        <f>SUM(D40-D41)</f>
        <v>0</v>
      </c>
      <c r="E42" s="50">
        <f>SUM(E40-E41)</f>
        <v>0</v>
      </c>
      <c r="F42" s="50">
        <f>SUM(F40-F41)</f>
        <v>0</v>
      </c>
      <c r="G42" s="50">
        <f>SUM(G40-G41)</f>
        <v>0</v>
      </c>
    </row>
    <row r="43" spans="1:7" ht="18" customHeight="1">
      <c r="A43" s="58" t="s">
        <v>43</v>
      </c>
      <c r="B43" s="59">
        <v>0</v>
      </c>
      <c r="C43" s="59">
        <v>0</v>
      </c>
      <c r="D43" s="59">
        <v>0</v>
      </c>
      <c r="E43" s="59">
        <v>0</v>
      </c>
      <c r="F43" s="59">
        <f>SUM((F41/F40)*100)</f>
        <v>100</v>
      </c>
      <c r="G43" s="59">
        <f>SUM((G41/G40)*100)</f>
        <v>100</v>
      </c>
    </row>
    <row r="44" spans="1:7" ht="18" customHeight="1">
      <c r="A44" s="55" t="s">
        <v>51</v>
      </c>
      <c r="B44" s="56"/>
      <c r="C44" s="56"/>
      <c r="D44" s="56"/>
      <c r="E44" s="56"/>
      <c r="F44" s="56"/>
      <c r="G44" s="56"/>
    </row>
    <row r="45" spans="1:7" ht="18" customHeight="1">
      <c r="A45" s="51" t="s">
        <v>40</v>
      </c>
      <c r="B45" s="50">
        <v>0</v>
      </c>
      <c r="C45" s="50">
        <f>SUM(แผ่นดิน!D82:E82)</f>
        <v>102000</v>
      </c>
      <c r="D45" s="50">
        <f>SUM(แผ่นดิน!F82:G82)</f>
        <v>0</v>
      </c>
      <c r="E45" s="50">
        <f>SUM(แผ่นดิน!H82)</f>
        <v>0</v>
      </c>
      <c r="F45" s="50">
        <f>SUM(แผ่นดิน!I82)</f>
        <v>899844</v>
      </c>
      <c r="G45" s="50">
        <f>SUM(B45:F45)</f>
        <v>1001844</v>
      </c>
    </row>
    <row r="46" spans="1:7" ht="18" customHeight="1">
      <c r="A46" s="57" t="s">
        <v>41</v>
      </c>
      <c r="B46" s="53">
        <v>0</v>
      </c>
      <c r="C46" s="87">
        <f>SUM(แผ่นดิน!M82:N82)</f>
        <v>102000</v>
      </c>
      <c r="D46" s="87">
        <f>SUM(0)</f>
        <v>0</v>
      </c>
      <c r="E46" s="87">
        <f>SUM(แผ่นดิน!Q82)</f>
        <v>0</v>
      </c>
      <c r="F46" s="87">
        <f>SUM(แผ่นดิน!R82)</f>
        <v>899844</v>
      </c>
      <c r="G46" s="87">
        <f>SUM(B46:F46)</f>
        <v>1001844</v>
      </c>
    </row>
    <row r="47" spans="1:7" ht="18" customHeight="1">
      <c r="A47" s="51" t="s">
        <v>42</v>
      </c>
      <c r="B47" s="50">
        <v>0</v>
      </c>
      <c r="C47" s="50">
        <f>SUM(C45-C46)</f>
        <v>0</v>
      </c>
      <c r="D47" s="50">
        <f>SUM(D45-D46)</f>
        <v>0</v>
      </c>
      <c r="E47" s="50">
        <f>SUM(E45-E46)</f>
        <v>0</v>
      </c>
      <c r="F47" s="50">
        <f>SUM(F45-F46)</f>
        <v>0</v>
      </c>
      <c r="G47" s="50">
        <f>SUM(G45-G46)</f>
        <v>0</v>
      </c>
    </row>
    <row r="48" spans="1:7" ht="18" customHeight="1">
      <c r="A48" s="58" t="s">
        <v>43</v>
      </c>
      <c r="B48" s="59">
        <v>0</v>
      </c>
      <c r="C48" s="59">
        <f>SUM((C46/C45)*100)</f>
        <v>100</v>
      </c>
      <c r="D48" s="59">
        <v>0</v>
      </c>
      <c r="E48" s="59">
        <v>0</v>
      </c>
      <c r="F48" s="59">
        <f>SUM((F46/F45)*100)</f>
        <v>100</v>
      </c>
      <c r="G48" s="59">
        <f>SUM((G46/G45)*100)</f>
        <v>100</v>
      </c>
    </row>
    <row r="49" spans="1:7" ht="18" customHeight="1">
      <c r="A49" s="55" t="s">
        <v>52</v>
      </c>
      <c r="B49" s="56"/>
      <c r="C49" s="56"/>
      <c r="D49" s="56"/>
      <c r="E49" s="56"/>
      <c r="F49" s="56"/>
      <c r="G49" s="56"/>
    </row>
    <row r="50" spans="1:7" ht="18" customHeight="1">
      <c r="A50" s="51" t="s">
        <v>40</v>
      </c>
      <c r="B50" s="50">
        <v>0</v>
      </c>
      <c r="C50" s="50">
        <v>0</v>
      </c>
      <c r="D50" s="50">
        <v>0</v>
      </c>
      <c r="E50" s="50">
        <v>0</v>
      </c>
      <c r="F50" s="50">
        <f>SUM(แผ่นดิน!I104)</f>
        <v>7500</v>
      </c>
      <c r="G50" s="50">
        <f>SUM(B50:F50)</f>
        <v>7500</v>
      </c>
    </row>
    <row r="51" spans="1:7" ht="18" customHeight="1">
      <c r="A51" s="57" t="s">
        <v>41</v>
      </c>
      <c r="B51" s="53">
        <v>0</v>
      </c>
      <c r="C51" s="53">
        <v>0</v>
      </c>
      <c r="D51" s="53">
        <v>0</v>
      </c>
      <c r="E51" s="53">
        <v>0</v>
      </c>
      <c r="F51" s="53">
        <f>SUM(แผ่นดิน!R104)</f>
        <v>7500</v>
      </c>
      <c r="G51" s="87">
        <f>SUM(B51:F51)</f>
        <v>7500</v>
      </c>
    </row>
    <row r="52" spans="1:7" ht="18" customHeight="1">
      <c r="A52" s="51" t="s">
        <v>42</v>
      </c>
      <c r="B52" s="50">
        <v>0</v>
      </c>
      <c r="C52" s="50">
        <v>0</v>
      </c>
      <c r="D52" s="50">
        <v>0</v>
      </c>
      <c r="E52" s="50">
        <v>0</v>
      </c>
      <c r="F52" s="50">
        <f>SUM(F50-F51)</f>
        <v>0</v>
      </c>
      <c r="G52" s="50">
        <f>SUM(B52:F52)</f>
        <v>0</v>
      </c>
    </row>
    <row r="53" spans="1:7" ht="18" customHeight="1">
      <c r="A53" s="58" t="s">
        <v>43</v>
      </c>
      <c r="B53" s="59">
        <v>0</v>
      </c>
      <c r="C53" s="59">
        <v>0</v>
      </c>
      <c r="D53" s="59">
        <v>0</v>
      </c>
      <c r="E53" s="59">
        <v>0</v>
      </c>
      <c r="F53" s="59">
        <v>0</v>
      </c>
      <c r="G53" s="59">
        <f>SUM(B53:F53)</f>
        <v>0</v>
      </c>
    </row>
    <row r="54" spans="1:7" ht="18" customHeight="1">
      <c r="A54" s="55" t="s">
        <v>53</v>
      </c>
      <c r="B54" s="56"/>
      <c r="C54" s="56"/>
      <c r="D54" s="56"/>
      <c r="E54" s="56"/>
      <c r="F54" s="56"/>
      <c r="G54" s="56"/>
    </row>
    <row r="55" spans="1:7" ht="18" customHeight="1">
      <c r="A55" s="51" t="s">
        <v>40</v>
      </c>
      <c r="B55" s="50">
        <v>0</v>
      </c>
      <c r="C55" s="50">
        <f>SUM(แผ่นดิน!D105:E105)</f>
        <v>83700</v>
      </c>
      <c r="D55" s="50">
        <v>0</v>
      </c>
      <c r="E55" s="50">
        <v>0</v>
      </c>
      <c r="F55" s="50">
        <f>SUM(แผ่นดิน!I105)</f>
        <v>0</v>
      </c>
      <c r="G55" s="50">
        <f>SUM(B55:F55)</f>
        <v>83700</v>
      </c>
    </row>
    <row r="56" spans="1:7" ht="18" customHeight="1">
      <c r="A56" s="57" t="s">
        <v>41</v>
      </c>
      <c r="B56" s="53">
        <v>0</v>
      </c>
      <c r="C56" s="87">
        <f>SUM(แผ่นดิน!M105:N105)</f>
        <v>74300</v>
      </c>
      <c r="D56" s="87">
        <v>0</v>
      </c>
      <c r="E56" s="87">
        <v>0</v>
      </c>
      <c r="F56" s="53">
        <v>0</v>
      </c>
      <c r="G56" s="87">
        <f>SUM(B56:F56)</f>
        <v>74300</v>
      </c>
    </row>
    <row r="57" spans="1:7" ht="18" customHeight="1">
      <c r="A57" s="51" t="s">
        <v>42</v>
      </c>
      <c r="B57" s="50">
        <v>0</v>
      </c>
      <c r="C57" s="50">
        <f>SUM(C55-C56)</f>
        <v>9400</v>
      </c>
      <c r="D57" s="50">
        <v>0</v>
      </c>
      <c r="E57" s="50">
        <v>0</v>
      </c>
      <c r="F57" s="50">
        <f>SUM(F55-F56)</f>
        <v>0</v>
      </c>
      <c r="G57" s="50">
        <f>SUM(B57:F57)</f>
        <v>9400</v>
      </c>
    </row>
    <row r="58" spans="1:7" ht="18" customHeight="1">
      <c r="A58" s="58" t="s">
        <v>43</v>
      </c>
      <c r="B58" s="59">
        <v>0</v>
      </c>
      <c r="C58" s="59">
        <f>SUM((C56/C55)*100)</f>
        <v>88.769414575866193</v>
      </c>
      <c r="D58" s="59">
        <v>0</v>
      </c>
      <c r="E58" s="59">
        <v>0</v>
      </c>
      <c r="F58" s="59">
        <v>0</v>
      </c>
      <c r="G58" s="59">
        <f>SUM((G56/G55)*100)</f>
        <v>88.769414575866193</v>
      </c>
    </row>
    <row r="59" spans="1:7" ht="18" customHeight="1">
      <c r="A59" s="55" t="s">
        <v>54</v>
      </c>
      <c r="B59" s="56"/>
      <c r="C59" s="56"/>
      <c r="D59" s="56"/>
      <c r="E59" s="56"/>
      <c r="F59" s="56"/>
      <c r="G59" s="56"/>
    </row>
    <row r="60" spans="1:7" ht="18" customHeight="1">
      <c r="A60" s="51" t="s">
        <v>40</v>
      </c>
      <c r="B60" s="50">
        <v>0</v>
      </c>
      <c r="C60" s="50">
        <f>SUM(แผ่นดิน!M106:N106)</f>
        <v>0</v>
      </c>
      <c r="D60" s="50">
        <f>SUM(แผ่นดิน!O106:P106)</f>
        <v>0</v>
      </c>
      <c r="E60" s="50">
        <f>SUM(แผ่นดิน!Q106)</f>
        <v>0</v>
      </c>
      <c r="F60" s="50">
        <f>SUM(แผ่นดิน!I106)</f>
        <v>147462.5</v>
      </c>
      <c r="G60" s="50">
        <f>SUM(B60:F60)</f>
        <v>147462.5</v>
      </c>
    </row>
    <row r="61" spans="1:7" ht="18" customHeight="1">
      <c r="A61" s="57" t="s">
        <v>41</v>
      </c>
      <c r="B61" s="53">
        <v>0</v>
      </c>
      <c r="C61" s="87">
        <v>0</v>
      </c>
      <c r="D61" s="87">
        <v>0</v>
      </c>
      <c r="E61" s="87">
        <v>0</v>
      </c>
      <c r="F61" s="87">
        <f>SUM(แผ่นดิน!R106)</f>
        <v>147462.5</v>
      </c>
      <c r="G61" s="87">
        <f>SUM(B61:F61)</f>
        <v>147462.5</v>
      </c>
    </row>
    <row r="62" spans="1:7" ht="18" customHeight="1">
      <c r="A62" s="51" t="s">
        <v>42</v>
      </c>
      <c r="B62" s="50">
        <v>0</v>
      </c>
      <c r="C62" s="50">
        <f>SUM(C60-C61)</f>
        <v>0</v>
      </c>
      <c r="D62" s="50">
        <v>0</v>
      </c>
      <c r="E62" s="50">
        <v>0</v>
      </c>
      <c r="F62" s="50">
        <f>SUM(F60-F61)</f>
        <v>0</v>
      </c>
      <c r="G62" s="50">
        <f>SUM(B62:F62)</f>
        <v>0</v>
      </c>
    </row>
    <row r="63" spans="1:7" ht="18" customHeight="1">
      <c r="A63" s="58" t="s">
        <v>43</v>
      </c>
      <c r="B63" s="59">
        <v>0</v>
      </c>
      <c r="C63" s="59">
        <v>0</v>
      </c>
      <c r="D63" s="59">
        <v>0</v>
      </c>
      <c r="E63" s="59">
        <v>0</v>
      </c>
      <c r="F63" s="59">
        <f>SUM(F61/F60*100)</f>
        <v>100</v>
      </c>
      <c r="G63" s="59">
        <f>SUM((G61/G60)*100)</f>
        <v>100</v>
      </c>
    </row>
    <row r="64" spans="1:7" ht="18" customHeight="1">
      <c r="A64" s="55" t="s">
        <v>55</v>
      </c>
      <c r="B64" s="56"/>
      <c r="C64" s="56"/>
      <c r="D64" s="56"/>
      <c r="E64" s="56"/>
      <c r="F64" s="56"/>
      <c r="G64" s="56"/>
    </row>
    <row r="65" spans="1:7" ht="18" customHeight="1">
      <c r="A65" s="51" t="s">
        <v>40</v>
      </c>
      <c r="B65" s="50">
        <v>0</v>
      </c>
      <c r="C65" s="50">
        <f>SUM(แผ่นดิน!D94:E94)</f>
        <v>1749600</v>
      </c>
      <c r="D65" s="50">
        <f>SUM(แผ่นดิน!F94:G94)</f>
        <v>0</v>
      </c>
      <c r="E65" s="50">
        <f>SUM(แผ่นดิน!H94)</f>
        <v>0</v>
      </c>
      <c r="F65" s="50">
        <f>SUM(แผ่นดิน!I94)</f>
        <v>0</v>
      </c>
      <c r="G65" s="50">
        <f>SUM(B65:F65)</f>
        <v>1749600</v>
      </c>
    </row>
    <row r="66" spans="1:7" ht="18" customHeight="1">
      <c r="A66" s="57" t="s">
        <v>41</v>
      </c>
      <c r="B66" s="53">
        <v>0</v>
      </c>
      <c r="C66" s="87">
        <f>SUM(แผ่นดิน!M94:N94)</f>
        <v>1628862.08</v>
      </c>
      <c r="D66" s="87">
        <f>SUM(แผ่นดิน!O94:P94)</f>
        <v>0</v>
      </c>
      <c r="E66" s="87">
        <f>SUM(แผ่นดิน!Q94)</f>
        <v>0</v>
      </c>
      <c r="F66" s="87">
        <f>SUM(แผ่นดิน!R94)</f>
        <v>0</v>
      </c>
      <c r="G66" s="87">
        <f>SUM(B66:F66)</f>
        <v>1628862.08</v>
      </c>
    </row>
    <row r="67" spans="1:7" ht="18" customHeight="1">
      <c r="A67" s="51" t="s">
        <v>42</v>
      </c>
      <c r="B67" s="50">
        <v>0</v>
      </c>
      <c r="C67" s="50">
        <f>SUM(C65-C66)</f>
        <v>120737.91999999993</v>
      </c>
      <c r="D67" s="50">
        <f>SUM(D65-D66)</f>
        <v>0</v>
      </c>
      <c r="E67" s="50">
        <f>SUM(E65-E66)</f>
        <v>0</v>
      </c>
      <c r="F67" s="50">
        <f>SUM(F65-F66)</f>
        <v>0</v>
      </c>
      <c r="G67" s="50">
        <f>SUM(B67:F67)</f>
        <v>120737.91999999993</v>
      </c>
    </row>
    <row r="68" spans="1:7" ht="18" customHeight="1">
      <c r="A68" s="58" t="s">
        <v>43</v>
      </c>
      <c r="B68" s="59">
        <v>0</v>
      </c>
      <c r="C68" s="59">
        <f>SUM((C66/C65)*100)</f>
        <v>93.099112940100611</v>
      </c>
      <c r="D68" s="59">
        <v>0</v>
      </c>
      <c r="E68" s="59">
        <v>0</v>
      </c>
      <c r="F68" s="59">
        <v>0</v>
      </c>
      <c r="G68" s="59">
        <f>SUM((G66/G65)*100)</f>
        <v>93.099112940100611</v>
      </c>
    </row>
    <row r="69" spans="1:7" ht="18" customHeight="1">
      <c r="A69" s="55" t="s">
        <v>56</v>
      </c>
      <c r="B69" s="56"/>
      <c r="C69" s="56"/>
      <c r="D69" s="56"/>
      <c r="E69" s="56"/>
      <c r="F69" s="56"/>
      <c r="G69" s="56"/>
    </row>
    <row r="70" spans="1:7" ht="18" customHeight="1">
      <c r="A70" s="51" t="s">
        <v>40</v>
      </c>
      <c r="B70" s="50">
        <v>0</v>
      </c>
      <c r="C70" s="50">
        <f>SUM(แผ่นดิน!D97:E97)</f>
        <v>0</v>
      </c>
      <c r="D70" s="50">
        <f>SUM(0)</f>
        <v>0</v>
      </c>
      <c r="E70" s="50">
        <f>SUM(0)</f>
        <v>0</v>
      </c>
      <c r="F70" s="50">
        <f>SUM(แผ่นดิน!I97)</f>
        <v>409149</v>
      </c>
      <c r="G70" s="50">
        <f>SUM(B70:F70)</f>
        <v>409149</v>
      </c>
    </row>
    <row r="71" spans="1:7" ht="18" customHeight="1">
      <c r="A71" s="57" t="s">
        <v>41</v>
      </c>
      <c r="B71" s="53">
        <v>0</v>
      </c>
      <c r="C71" s="87">
        <f>SUM(0)</f>
        <v>0</v>
      </c>
      <c r="D71" s="87">
        <f>SUM(0)</f>
        <v>0</v>
      </c>
      <c r="E71" s="87">
        <f>SUM(0)</f>
        <v>0</v>
      </c>
      <c r="F71" s="87">
        <f>SUM(แผ่นดิน!R97)</f>
        <v>409149</v>
      </c>
      <c r="G71" s="87">
        <f>SUM(B71:F71)</f>
        <v>409149</v>
      </c>
    </row>
    <row r="72" spans="1:7" ht="18" customHeight="1">
      <c r="A72" s="51" t="s">
        <v>42</v>
      </c>
      <c r="B72" s="50">
        <v>0</v>
      </c>
      <c r="C72" s="50">
        <f>SUM(C70-C71)</f>
        <v>0</v>
      </c>
      <c r="D72" s="50">
        <f>SUM(D70-D71)</f>
        <v>0</v>
      </c>
      <c r="E72" s="50">
        <f>SUM(E70-E71)</f>
        <v>0</v>
      </c>
      <c r="F72" s="50">
        <f>SUM(F70-F71)</f>
        <v>0</v>
      </c>
      <c r="G72" s="50">
        <f>SUM(G70-G71)</f>
        <v>0</v>
      </c>
    </row>
    <row r="73" spans="1:7" ht="18" customHeight="1">
      <c r="A73" s="58" t="s">
        <v>43</v>
      </c>
      <c r="B73" s="59">
        <v>0</v>
      </c>
      <c r="C73" s="59">
        <v>0</v>
      </c>
      <c r="D73" s="59">
        <v>0</v>
      </c>
      <c r="E73" s="59">
        <v>0</v>
      </c>
      <c r="F73" s="59">
        <f>SUM((F71/F70)*100)</f>
        <v>100</v>
      </c>
      <c r="G73" s="59">
        <f>SUM((G71/G70)*100)</f>
        <v>100</v>
      </c>
    </row>
    <row r="74" spans="1:7" ht="18" customHeight="1">
      <c r="A74" s="55" t="s">
        <v>57</v>
      </c>
      <c r="B74" s="56"/>
      <c r="C74" s="56"/>
      <c r="D74" s="56"/>
      <c r="E74" s="56"/>
      <c r="F74" s="56"/>
      <c r="G74" s="56"/>
    </row>
    <row r="75" spans="1:7" ht="18" customHeight="1">
      <c r="A75" s="51" t="s">
        <v>40</v>
      </c>
      <c r="B75" s="50">
        <v>0</v>
      </c>
      <c r="C75" s="50">
        <f>SUM(แผ่นดิน!D98:E98)</f>
        <v>2000000</v>
      </c>
      <c r="D75" s="50">
        <v>0</v>
      </c>
      <c r="E75" s="50">
        <v>0</v>
      </c>
      <c r="F75" s="50">
        <f>SUM(แผ่นดิน!I98)</f>
        <v>199800</v>
      </c>
      <c r="G75" s="50">
        <f>SUM(B75:F75)</f>
        <v>2199800</v>
      </c>
    </row>
    <row r="76" spans="1:7" ht="18" customHeight="1">
      <c r="A76" s="57" t="s">
        <v>41</v>
      </c>
      <c r="B76" s="53">
        <v>0</v>
      </c>
      <c r="C76" s="87">
        <f>SUM(แผ่นดิน!M98:N98)</f>
        <v>1988747.65</v>
      </c>
      <c r="D76" s="87">
        <f>SUM(0)</f>
        <v>0</v>
      </c>
      <c r="E76" s="87">
        <f>SUM(0)</f>
        <v>0</v>
      </c>
      <c r="F76" s="87">
        <f>SUM(แผ่นดิน!R98)</f>
        <v>199800</v>
      </c>
      <c r="G76" s="87">
        <f>SUM(B76:F76)</f>
        <v>2188547.65</v>
      </c>
    </row>
    <row r="77" spans="1:7" ht="18" customHeight="1">
      <c r="A77" s="51" t="s">
        <v>42</v>
      </c>
      <c r="B77" s="50">
        <v>0</v>
      </c>
      <c r="C77" s="50">
        <f>SUM(C75-C76)</f>
        <v>11252.350000000093</v>
      </c>
      <c r="D77" s="50">
        <f>SUM(D75-D76)</f>
        <v>0</v>
      </c>
      <c r="E77" s="50">
        <f>SUM(E75-E76)</f>
        <v>0</v>
      </c>
      <c r="F77" s="50">
        <f>SUM(F75-F76)</f>
        <v>0</v>
      </c>
      <c r="G77" s="50">
        <f>SUM(G75-G76)</f>
        <v>11252.350000000093</v>
      </c>
    </row>
    <row r="78" spans="1:7" ht="18" customHeight="1">
      <c r="A78" s="58" t="s">
        <v>43</v>
      </c>
      <c r="B78" s="59">
        <v>0</v>
      </c>
      <c r="C78" s="59">
        <f>SUM((C76/C75)*100)</f>
        <v>99.437382499999998</v>
      </c>
      <c r="D78" s="59">
        <v>0</v>
      </c>
      <c r="E78" s="59">
        <v>0</v>
      </c>
      <c r="F78" s="59">
        <f>SUM((F76/F75)*100)</f>
        <v>100</v>
      </c>
      <c r="G78" s="59">
        <f>SUM((G76/G75)*100)</f>
        <v>99.488483043913078</v>
      </c>
    </row>
    <row r="79" spans="1:7" ht="18" customHeight="1">
      <c r="A79" s="55" t="s">
        <v>58</v>
      </c>
      <c r="B79" s="56"/>
      <c r="C79" s="56"/>
      <c r="D79" s="56"/>
      <c r="E79" s="56"/>
      <c r="F79" s="56"/>
      <c r="G79" s="56"/>
    </row>
    <row r="80" spans="1:7" ht="18" customHeight="1">
      <c r="A80" s="51" t="s">
        <v>40</v>
      </c>
      <c r="B80" s="50">
        <v>0</v>
      </c>
      <c r="C80" s="50">
        <v>0</v>
      </c>
      <c r="D80" s="50">
        <v>0</v>
      </c>
      <c r="E80" s="50">
        <v>0</v>
      </c>
      <c r="F80" s="50">
        <v>0</v>
      </c>
      <c r="G80" s="50">
        <f>SUM(B80:F80)</f>
        <v>0</v>
      </c>
    </row>
    <row r="81" spans="1:7" ht="18" customHeight="1">
      <c r="A81" s="57" t="s">
        <v>41</v>
      </c>
      <c r="B81" s="53">
        <v>0</v>
      </c>
      <c r="C81" s="53">
        <v>0</v>
      </c>
      <c r="D81" s="53">
        <v>0</v>
      </c>
      <c r="E81" s="53">
        <v>0</v>
      </c>
      <c r="F81" s="53">
        <v>0</v>
      </c>
      <c r="G81" s="53">
        <v>0</v>
      </c>
    </row>
    <row r="82" spans="1:7" ht="18" customHeight="1">
      <c r="A82" s="51" t="s">
        <v>42</v>
      </c>
      <c r="B82" s="50">
        <v>0</v>
      </c>
      <c r="C82" s="50">
        <v>0</v>
      </c>
      <c r="D82" s="50">
        <v>0</v>
      </c>
      <c r="E82" s="50">
        <v>0</v>
      </c>
      <c r="F82" s="50">
        <v>0</v>
      </c>
      <c r="G82" s="50">
        <f>SUM(B82:F82)</f>
        <v>0</v>
      </c>
    </row>
    <row r="83" spans="1:7" ht="18" customHeight="1">
      <c r="A83" s="58" t="s">
        <v>43</v>
      </c>
      <c r="B83" s="59">
        <v>0</v>
      </c>
      <c r="C83" s="59">
        <v>0</v>
      </c>
      <c r="D83" s="59">
        <v>0</v>
      </c>
      <c r="E83" s="59">
        <v>0</v>
      </c>
      <c r="F83" s="59">
        <v>0</v>
      </c>
      <c r="G83" s="59">
        <v>0</v>
      </c>
    </row>
    <row r="84" spans="1:7" ht="18" customHeight="1">
      <c r="A84" s="55" t="s">
        <v>59</v>
      </c>
      <c r="B84" s="56"/>
      <c r="C84" s="56"/>
      <c r="D84" s="56"/>
      <c r="E84" s="56"/>
      <c r="F84" s="56"/>
      <c r="G84" s="56"/>
    </row>
    <row r="85" spans="1:7" ht="18" customHeight="1">
      <c r="A85" s="51" t="s">
        <v>40</v>
      </c>
      <c r="B85" s="50">
        <v>0</v>
      </c>
      <c r="C85" s="50">
        <f>SUM(แผ่นดิน!D103:E103)</f>
        <v>1517328</v>
      </c>
      <c r="D85" s="50">
        <f>SUM(แผ่นดิน!F103:G103)</f>
        <v>0</v>
      </c>
      <c r="E85" s="50">
        <f>SUM(แผ่นดิน!H103)</f>
        <v>0</v>
      </c>
      <c r="F85" s="50">
        <f>SUM(แผ่นดิน!I103)</f>
        <v>219569.74</v>
      </c>
      <c r="G85" s="50">
        <f>SUM(B85:F85)</f>
        <v>1736897.74</v>
      </c>
    </row>
    <row r="86" spans="1:7" ht="18" customHeight="1">
      <c r="A86" s="57" t="s">
        <v>41</v>
      </c>
      <c r="B86" s="53">
        <v>0</v>
      </c>
      <c r="C86" s="87">
        <f>SUM(แผ่นดิน!M103:N103)</f>
        <v>1419439.4</v>
      </c>
      <c r="D86" s="87">
        <f>SUM(แผ่นดิน!O103:P103)</f>
        <v>0</v>
      </c>
      <c r="E86" s="87">
        <f>SUM(แผ่นดิน!Q103)</f>
        <v>0</v>
      </c>
      <c r="F86" s="87">
        <f>SUM(แผ่นดิน!R103)</f>
        <v>219569.74</v>
      </c>
      <c r="G86" s="87">
        <f>SUM(B86:F86)</f>
        <v>1639009.14</v>
      </c>
    </row>
    <row r="87" spans="1:7" ht="18" customHeight="1">
      <c r="A87" s="51" t="s">
        <v>42</v>
      </c>
      <c r="B87" s="50">
        <v>0</v>
      </c>
      <c r="C87" s="50">
        <f>SUM(C85-C86)</f>
        <v>97888.600000000093</v>
      </c>
      <c r="D87" s="50">
        <f>SUM(D85-D86)</f>
        <v>0</v>
      </c>
      <c r="E87" s="50">
        <f>SUM(E85-E86)</f>
        <v>0</v>
      </c>
      <c r="F87" s="50">
        <f>SUM(F85-F86)</f>
        <v>0</v>
      </c>
      <c r="G87" s="50">
        <f>SUM(G85-G86)</f>
        <v>97888.600000000093</v>
      </c>
    </row>
    <row r="88" spans="1:7" ht="18" customHeight="1">
      <c r="A88" s="58" t="s">
        <v>43</v>
      </c>
      <c r="B88" s="59">
        <v>0</v>
      </c>
      <c r="C88" s="59">
        <f>SUM((C86/C85)*100)</f>
        <v>93.548619678803789</v>
      </c>
      <c r="D88" s="59">
        <v>0</v>
      </c>
      <c r="E88" s="59">
        <v>0</v>
      </c>
      <c r="F88" s="59">
        <f>SUM((F86/F85)*100)</f>
        <v>100</v>
      </c>
      <c r="G88" s="59">
        <f>SUM((G86/G85)*100)</f>
        <v>94.364170224552197</v>
      </c>
    </row>
    <row r="89" spans="1:7" ht="18" customHeight="1">
      <c r="A89" s="55" t="s">
        <v>90</v>
      </c>
      <c r="B89" s="56"/>
      <c r="C89" s="56"/>
      <c r="D89" s="56"/>
      <c r="E89" s="56"/>
      <c r="F89" s="56"/>
      <c r="G89" s="56"/>
    </row>
    <row r="90" spans="1:7" ht="18" customHeight="1">
      <c r="A90" s="51" t="s">
        <v>40</v>
      </c>
      <c r="B90" s="50">
        <f>SUM(แผ่นดิน!B107:C107)</f>
        <v>71878825.719999999</v>
      </c>
      <c r="C90" s="50">
        <f>SUM(แผ่นดิน!D107:E107)</f>
        <v>25389496.460000001</v>
      </c>
      <c r="D90" s="50">
        <f>SUM(แผ่นดิน!F107:G107)</f>
        <v>122976454.19</v>
      </c>
      <c r="E90" s="50">
        <f>SUM(แผ่นดิน!H107)</f>
        <v>184714787.34999999</v>
      </c>
      <c r="F90" s="50">
        <f>SUM(แผ่นดิน!I107)</f>
        <v>7152883.7400000021</v>
      </c>
      <c r="G90" s="50">
        <f>SUM(B90:F90)</f>
        <v>412112447.46000004</v>
      </c>
    </row>
    <row r="91" spans="1:7" ht="18" customHeight="1">
      <c r="A91" s="57" t="s">
        <v>41</v>
      </c>
      <c r="B91" s="53">
        <f>SUM(แผ่นดิน!K107:L107)</f>
        <v>71878825.719999999</v>
      </c>
      <c r="C91" s="53">
        <f>SUM(แผ่นดิน!M107:N107)</f>
        <v>24975462.09</v>
      </c>
      <c r="D91" s="53">
        <f>SUM(แผ่นดิน!O107:P107)</f>
        <v>91178250</v>
      </c>
      <c r="E91" s="53">
        <f>SUM(แผ่นดิน!Q107)</f>
        <v>184584512.91999999</v>
      </c>
      <c r="F91" s="87">
        <f>SUM(แผ่นดิน!R107)</f>
        <v>7152883.7400000021</v>
      </c>
      <c r="G91" s="87">
        <f>SUM(B91:F91)</f>
        <v>379769934.47000003</v>
      </c>
    </row>
    <row r="92" spans="1:7" ht="18" customHeight="1">
      <c r="A92" s="51" t="s">
        <v>42</v>
      </c>
      <c r="B92" s="50">
        <f t="shared" ref="B92:G92" si="3">SUM(B90-B91)</f>
        <v>0</v>
      </c>
      <c r="C92" s="50">
        <f t="shared" si="3"/>
        <v>414034.37000000104</v>
      </c>
      <c r="D92" s="50">
        <f t="shared" si="3"/>
        <v>31798204.189999998</v>
      </c>
      <c r="E92" s="50">
        <f t="shared" si="3"/>
        <v>130274.43000000715</v>
      </c>
      <c r="F92" s="50">
        <f t="shared" si="3"/>
        <v>0</v>
      </c>
      <c r="G92" s="50">
        <f t="shared" si="3"/>
        <v>32342512.99000001</v>
      </c>
    </row>
    <row r="93" spans="1:7" ht="18" customHeight="1">
      <c r="A93" s="58" t="s">
        <v>43</v>
      </c>
      <c r="B93" s="59">
        <f t="shared" ref="B93:G93" si="4">SUM((B91/B90)*100)</f>
        <v>100</v>
      </c>
      <c r="C93" s="59">
        <f t="shared" si="4"/>
        <v>98.36926907687085</v>
      </c>
      <c r="D93" s="59">
        <f t="shared" si="4"/>
        <v>74.142851654454589</v>
      </c>
      <c r="E93" s="59">
        <f t="shared" si="4"/>
        <v>99.929472657891125</v>
      </c>
      <c r="F93" s="59">
        <f t="shared" si="4"/>
        <v>100</v>
      </c>
      <c r="G93" s="59">
        <f t="shared" si="4"/>
        <v>92.15201744345778</v>
      </c>
    </row>
    <row r="94" spans="1:7" ht="18" customHeight="1">
      <c r="A94" s="55" t="s">
        <v>91</v>
      </c>
      <c r="B94" s="56"/>
      <c r="C94" s="56"/>
      <c r="D94" s="56"/>
      <c r="E94" s="56"/>
      <c r="F94" s="56"/>
      <c r="G94" s="56"/>
    </row>
    <row r="95" spans="1:7" ht="18" customHeight="1">
      <c r="A95" s="51" t="s">
        <v>40</v>
      </c>
      <c r="B95" s="50">
        <v>0</v>
      </c>
      <c r="C95" s="50">
        <f>SUM(แผ่นดิน!D108:E108)</f>
        <v>250000</v>
      </c>
      <c r="D95" s="50">
        <v>0</v>
      </c>
      <c r="E95" s="50">
        <v>0</v>
      </c>
      <c r="F95" s="50">
        <f>SUM(แผ่นดิน!I108)</f>
        <v>0</v>
      </c>
      <c r="G95" s="50">
        <f>SUM(B95:F95)</f>
        <v>250000</v>
      </c>
    </row>
    <row r="96" spans="1:7" ht="18" customHeight="1">
      <c r="A96" s="57" t="s">
        <v>41</v>
      </c>
      <c r="B96" s="53">
        <v>0</v>
      </c>
      <c r="C96" s="87">
        <f>SUM(แผ่นดิน!M108:N108)</f>
        <v>233830</v>
      </c>
      <c r="D96" s="87">
        <v>0</v>
      </c>
      <c r="E96" s="87">
        <v>0</v>
      </c>
      <c r="F96" s="87">
        <f>SUM(แผ่นดิน!R108)</f>
        <v>0</v>
      </c>
      <c r="G96" s="87">
        <f>SUM(B96:F96)</f>
        <v>233830</v>
      </c>
    </row>
    <row r="97" spans="1:9" ht="18" customHeight="1">
      <c r="A97" s="51" t="s">
        <v>42</v>
      </c>
      <c r="B97" s="50">
        <f>SUM(B95-B96)</f>
        <v>0</v>
      </c>
      <c r="C97" s="50">
        <f>SUM(C95-C96)</f>
        <v>16170</v>
      </c>
      <c r="D97" s="50">
        <v>0</v>
      </c>
      <c r="E97" s="50">
        <v>0</v>
      </c>
      <c r="F97" s="50">
        <f>SUM(F95-F96)</f>
        <v>0</v>
      </c>
      <c r="G97" s="50">
        <f>SUM(G95-G96)</f>
        <v>16170</v>
      </c>
    </row>
    <row r="98" spans="1:9" ht="18" customHeight="1">
      <c r="A98" s="58" t="s">
        <v>43</v>
      </c>
      <c r="B98" s="59">
        <v>0</v>
      </c>
      <c r="C98" s="59">
        <f>SUM((C96/C95)*100)</f>
        <v>93.532000000000011</v>
      </c>
      <c r="D98" s="59">
        <v>0</v>
      </c>
      <c r="E98" s="59">
        <v>0</v>
      </c>
      <c r="F98" s="59">
        <v>0</v>
      </c>
      <c r="G98" s="59">
        <f>SUM((G96/G95)*100)</f>
        <v>93.532000000000011</v>
      </c>
    </row>
    <row r="99" spans="1:9" ht="18" customHeight="1">
      <c r="A99" s="140" t="s">
        <v>274</v>
      </c>
      <c r="B99" s="56"/>
      <c r="C99" s="56"/>
      <c r="D99" s="56"/>
      <c r="E99" s="56"/>
      <c r="F99" s="56"/>
      <c r="G99" s="56"/>
    </row>
    <row r="100" spans="1:9" ht="18" customHeight="1">
      <c r="A100" s="51" t="s">
        <v>40</v>
      </c>
      <c r="B100" s="50">
        <v>0</v>
      </c>
      <c r="C100" s="50">
        <v>0</v>
      </c>
      <c r="D100" s="50">
        <f>SUM(แผ่นดิน!F130:G130)</f>
        <v>0</v>
      </c>
      <c r="E100" s="50">
        <f>SUM(แผ่นดิน!H109)</f>
        <v>411100</v>
      </c>
      <c r="F100" s="50">
        <f>SUM(แผ่นดิน!I109)</f>
        <v>4860</v>
      </c>
      <c r="G100" s="50">
        <f>SUM(B100:F100)</f>
        <v>415960</v>
      </c>
    </row>
    <row r="101" spans="1:9" ht="18" customHeight="1">
      <c r="A101" s="57" t="s">
        <v>41</v>
      </c>
      <c r="B101" s="53">
        <v>0</v>
      </c>
      <c r="C101" s="87">
        <v>0</v>
      </c>
      <c r="D101" s="87">
        <f>SUM(แผ่นดิน!O130:P130)</f>
        <v>0</v>
      </c>
      <c r="E101" s="87">
        <f>SUM(แผ่นดิน!Q109)</f>
        <v>114550.45</v>
      </c>
      <c r="F101" s="87">
        <f>SUM(แผ่นดิน!R109)</f>
        <v>4860</v>
      </c>
      <c r="G101" s="87">
        <f>SUM(B101:F101)</f>
        <v>119410.45</v>
      </c>
    </row>
    <row r="102" spans="1:9" ht="18" customHeight="1">
      <c r="A102" s="51" t="s">
        <v>42</v>
      </c>
      <c r="B102" s="50">
        <f t="shared" ref="B102:G102" si="5">SUM(B100-B101)</f>
        <v>0</v>
      </c>
      <c r="C102" s="50">
        <f t="shared" si="5"/>
        <v>0</v>
      </c>
      <c r="D102" s="50">
        <f t="shared" si="5"/>
        <v>0</v>
      </c>
      <c r="E102" s="50">
        <f t="shared" si="5"/>
        <v>296549.55</v>
      </c>
      <c r="F102" s="50">
        <f t="shared" si="5"/>
        <v>0</v>
      </c>
      <c r="G102" s="50">
        <f t="shared" si="5"/>
        <v>296549.55</v>
      </c>
    </row>
    <row r="103" spans="1:9" ht="18" customHeight="1">
      <c r="A103" s="58" t="s">
        <v>43</v>
      </c>
      <c r="B103" s="59">
        <v>0</v>
      </c>
      <c r="C103" s="59">
        <v>0</v>
      </c>
      <c r="D103" s="59">
        <v>0</v>
      </c>
      <c r="E103" s="59">
        <f>SUM((E101/E100)*100)</f>
        <v>27.86437606421795</v>
      </c>
      <c r="F103" s="59">
        <f>SUM((F101/F100)*100)</f>
        <v>100</v>
      </c>
      <c r="G103" s="59">
        <f>SUM((G101/G100)*100)</f>
        <v>28.707195403404175</v>
      </c>
    </row>
    <row r="104" spans="1:9" ht="18" customHeight="1">
      <c r="A104" s="60" t="s">
        <v>60</v>
      </c>
      <c r="B104" s="54">
        <f>SUM(B5,B10,B15,B20,B25,B30,B35,B40,B45,B50,B55,B60,B65,B70,B75,B80,B85,B90)</f>
        <v>71878825.719999999</v>
      </c>
      <c r="C104" s="54">
        <f t="shared" ref="C104:E105" si="6">SUM(C5,C10,C15,C20,C25,C30,C35,C40,C45,C50,C55,C60,C65,C70,C75,C80,C85,C90,C95,C100)</f>
        <v>41998984.460000001</v>
      </c>
      <c r="D104" s="54">
        <f t="shared" si="6"/>
        <v>134763754.19</v>
      </c>
      <c r="E104" s="54">
        <f t="shared" si="6"/>
        <v>192949287.34999999</v>
      </c>
      <c r="F104" s="54">
        <f>SUM(F5,F10,F15,F20,F25,F30,F35,F40,F45,F50,F55,F60,F65,F70,F75,F80,F85,F90,F95,F100)</f>
        <v>45842418.920000002</v>
      </c>
      <c r="G104" s="54">
        <f>SUM(G5,G10,G15,G20,G25,G30,G35,G40,G45,G50,G55,G60,G65,G70,G75,G80,G85,G90,G95,G100)</f>
        <v>487433270.64000005</v>
      </c>
    </row>
    <row r="105" spans="1:9" ht="18" customHeight="1">
      <c r="A105" s="60" t="s">
        <v>61</v>
      </c>
      <c r="B105" s="54">
        <f>SUM(B6,B11,B16,B21,B26,B31,B36,B41,B46,B51,B56,B61,B66,B71,B76,B81,B86,B91,B96,B101)</f>
        <v>71878825.719999999</v>
      </c>
      <c r="C105" s="54">
        <f t="shared" si="6"/>
        <v>40758648.57</v>
      </c>
      <c r="D105" s="54">
        <f>SUM(D6,D11,D16,D21,D26,D31,D36,D41,D46,D51,D56,D61,D66,D71,D76,D81,D86,D91,D96,D101)</f>
        <v>101263450</v>
      </c>
      <c r="E105" s="54">
        <f t="shared" si="6"/>
        <v>192522463.36999997</v>
      </c>
      <c r="F105" s="54">
        <f>SUM(F6,F11,F16,F21,F26,F31,F36,F41,F46,F51,F56,F61,F66,F71,F76,F81,F86,F91,F96,F101)</f>
        <v>45842418.920000002</v>
      </c>
      <c r="G105" s="54">
        <f>SUM(G6,G11,G16,G21,G26,G31,G36,G41,G46,G51,G56,G61,G66,G71,G76,G81,G86,G91,G96,G101)</f>
        <v>452265806.58000004</v>
      </c>
    </row>
    <row r="106" spans="1:9" ht="18" customHeight="1">
      <c r="A106" s="60" t="s">
        <v>62</v>
      </c>
      <c r="B106" s="54">
        <f>SUM(B7,B12,B17,B22,B27,B32,B37,B42,B47,B52,B57,B62,B67,B72,B77,B82,B87,B92)</f>
        <v>0</v>
      </c>
      <c r="C106" s="54">
        <f>SUM(C7,C12,C17,C22,C27,C32,C37,C42,C47,C52,C57,C62,C67,C72,C77,C82,C87,C92,C97,C102)</f>
        <v>1240335.8900000006</v>
      </c>
      <c r="D106" s="54">
        <f>SUM(D7,D12,D17,D22,D27,D32,D37,D42,D47,D52,D57,D62,D67,D72,D77,D82,D87,D92)</f>
        <v>33500304.189999998</v>
      </c>
      <c r="E106" s="54">
        <f>SUM(E7,E12,E17,E22,E27,E32,E37,E42,E47,E52,E57,E62,E67,E72,E77,E82,E87,E92,E97,E102)</f>
        <v>426823.98000000714</v>
      </c>
      <c r="F106" s="54">
        <f>SUM(F7,F12,F17,F22,F27,F32,F37,F42,F47,F52,F57,F62,F67,F72,F77,F82,F87,F92)</f>
        <v>0</v>
      </c>
      <c r="G106" s="54">
        <f>SUM(G7,G12,G17,G22,G27,G32,G37,G42,G47,G52,G57,G62,G67,G72,G77,G82,G87,G92,G97,G102)</f>
        <v>35167464.060000002</v>
      </c>
    </row>
    <row r="107" spans="1:9" ht="18" customHeight="1">
      <c r="A107" s="60" t="s">
        <v>63</v>
      </c>
      <c r="B107" s="54">
        <f t="shared" ref="B107:G107" si="7">SUM((B105/B104)*100)</f>
        <v>100</v>
      </c>
      <c r="C107" s="54">
        <f t="shared" si="7"/>
        <v>97.046747901294367</v>
      </c>
      <c r="D107" s="54">
        <f t="shared" si="7"/>
        <v>75.141458182614315</v>
      </c>
      <c r="E107" s="54">
        <f t="shared" si="7"/>
        <v>99.77878955353394</v>
      </c>
      <c r="F107" s="54">
        <f t="shared" si="7"/>
        <v>100</v>
      </c>
      <c r="G107" s="54">
        <f t="shared" si="7"/>
        <v>92.785173647702564</v>
      </c>
    </row>
    <row r="108" spans="1:9" ht="18" customHeight="1">
      <c r="I108" s="19">
        <f>แผ่นดิน!S133</f>
        <v>0</v>
      </c>
    </row>
    <row r="109" spans="1:9" ht="18" customHeight="1">
      <c r="I109" s="19">
        <f>รายได้!S160</f>
        <v>0</v>
      </c>
    </row>
    <row r="112" spans="1:9" ht="18" customHeight="1">
      <c r="A112" s="19" t="str">
        <f>A4</f>
        <v xml:space="preserve">1.คณะครุศาสตร์ </v>
      </c>
      <c r="B112" s="19">
        <f>G8</f>
        <v>99.772965030646162</v>
      </c>
    </row>
    <row r="113" spans="1:2" ht="18" customHeight="1">
      <c r="A113" s="19" t="str">
        <f>A9</f>
        <v xml:space="preserve">2.คณะวิทยาศาสตร์ </v>
      </c>
      <c r="B113" s="19">
        <f>G13</f>
        <v>92.978608260335648</v>
      </c>
    </row>
    <row r="114" spans="1:2" ht="18" customHeight="1">
      <c r="A114" s="19" t="s">
        <v>332</v>
      </c>
      <c r="B114" s="19">
        <f>G18</f>
        <v>96.238273284920012</v>
      </c>
    </row>
    <row r="115" spans="1:2" ht="18" customHeight="1">
      <c r="A115" s="19" t="str">
        <f>A19</f>
        <v xml:space="preserve">4.คณะวิทยาการจัดการ </v>
      </c>
      <c r="B115" s="19">
        <f>G23</f>
        <v>99.917434399855921</v>
      </c>
    </row>
    <row r="116" spans="1:2" ht="18" customHeight="1">
      <c r="A116" s="19" t="str">
        <f>A24</f>
        <v xml:space="preserve">5.คณะเทคโนโลยีอุตสาหกรรม </v>
      </c>
      <c r="B116" s="19">
        <f>G28</f>
        <v>99.638412669889334</v>
      </c>
    </row>
    <row r="117" spans="1:2" ht="18" customHeight="1">
      <c r="A117" s="19" t="str">
        <f>A29</f>
        <v xml:space="preserve">6.คณะเทคโนโลยีการเกษตร </v>
      </c>
      <c r="B117" s="19">
        <f>G33</f>
        <v>84.563344052708658</v>
      </c>
    </row>
    <row r="118" spans="1:2" ht="18" customHeight="1">
      <c r="A118" s="19" t="s">
        <v>330</v>
      </c>
      <c r="B118" s="19">
        <f>G38</f>
        <v>99.885165869518332</v>
      </c>
    </row>
    <row r="119" spans="1:2" ht="18" customHeight="1">
      <c r="A119" s="19" t="s">
        <v>26</v>
      </c>
      <c r="B119" s="19">
        <f>G43</f>
        <v>100</v>
      </c>
    </row>
    <row r="120" spans="1:2" ht="18" customHeight="1">
      <c r="A120" s="19" t="str">
        <f>A44</f>
        <v xml:space="preserve">9.สำนักศิลปะและวัฒนธรรม </v>
      </c>
      <c r="B120" s="19">
        <f>G48</f>
        <v>100</v>
      </c>
    </row>
    <row r="121" spans="1:2" ht="18" customHeight="1">
      <c r="A121" s="19" t="str">
        <f>A49</f>
        <v xml:space="preserve">10.หน่วยตรวจสอบภายใน </v>
      </c>
      <c r="B121" s="19">
        <f>G53</f>
        <v>0</v>
      </c>
    </row>
    <row r="122" spans="1:2" ht="18" customHeight="1">
      <c r="A122" s="19" t="str">
        <f>A54</f>
        <v xml:space="preserve">11.สำนักสภาคณาจารย์และข้าราชการ </v>
      </c>
      <c r="B122" s="19">
        <f>G58</f>
        <v>88.769414575866193</v>
      </c>
    </row>
    <row r="123" spans="1:2" ht="18" customHeight="1">
      <c r="A123" s="19" t="str">
        <f>A59</f>
        <v xml:space="preserve">12.โครงการจัดตั้งสถาบันภาษา </v>
      </c>
      <c r="B123" s="19">
        <f>G63</f>
        <v>100</v>
      </c>
    </row>
    <row r="124" spans="1:2" ht="18" customHeight="1">
      <c r="A124" s="19" t="str">
        <f>A64</f>
        <v xml:space="preserve">13.กองกลาง </v>
      </c>
      <c r="B124" s="19">
        <f>G68</f>
        <v>93.099112940100611</v>
      </c>
    </row>
    <row r="125" spans="1:2" ht="18" customHeight="1">
      <c r="A125" s="19" t="str">
        <f>A69</f>
        <v xml:space="preserve">14.กองนโยบายและแผน </v>
      </c>
      <c r="B125" s="19">
        <f>G73</f>
        <v>100</v>
      </c>
    </row>
    <row r="126" spans="1:2" ht="18" customHeight="1">
      <c r="A126" s="19" t="str">
        <f>A74</f>
        <v xml:space="preserve">15.กองบริการการศึกษา </v>
      </c>
      <c r="B126" s="19">
        <f>G78</f>
        <v>99.488483043913078</v>
      </c>
    </row>
    <row r="127" spans="1:2" ht="18" customHeight="1">
      <c r="A127" s="19" t="str">
        <f>A79</f>
        <v xml:space="preserve">16.สำนักงานประสานงานบัณฑิตศึกษา </v>
      </c>
      <c r="B127" s="19">
        <f>G83</f>
        <v>0</v>
      </c>
    </row>
    <row r="128" spans="1:2" ht="18" customHeight="1">
      <c r="A128" s="19" t="str">
        <f>A84</f>
        <v xml:space="preserve">17.กองพัฒนานักศึกษา </v>
      </c>
      <c r="B128" s="19">
        <f>G88</f>
        <v>94.364170224552197</v>
      </c>
    </row>
    <row r="129" spans="1:2" ht="18" customHeight="1">
      <c r="A129" s="19" t="str">
        <f>A89</f>
        <v xml:space="preserve">18.งบกลางมหาวิทยาลัยราชภัฏลำปาง </v>
      </c>
      <c r="B129" s="19">
        <f>G93</f>
        <v>92.15201744345778</v>
      </c>
    </row>
    <row r="130" spans="1:2" ht="18" customHeight="1">
      <c r="A130" s="19" t="str">
        <f>A94</f>
        <v xml:space="preserve">19.ศูนย์อบรมและการศึกษาต่อเนื่อง </v>
      </c>
      <c r="B130" s="19">
        <f>G98</f>
        <v>93.532000000000011</v>
      </c>
    </row>
    <row r="131" spans="1:2" ht="18" customHeight="1">
      <c r="A131" s="19" t="s">
        <v>331</v>
      </c>
      <c r="B131" s="19">
        <f>G103</f>
        <v>28.707195403404175</v>
      </c>
    </row>
  </sheetData>
  <mergeCells count="2">
    <mergeCell ref="A2:A3"/>
    <mergeCell ref="B2:G2"/>
  </mergeCells>
  <pageMargins left="1.2204724409448819" right="0.43307086614173229" top="0.39370078740157483" bottom="0.6692913385826772" header="0.31496062992125984" footer="0.15748031496062992"/>
  <pageSetup paperSize="9" firstPageNumber="16" orientation="landscape" useFirstPageNumber="1" r:id="rId1"/>
  <headerFooter>
    <oddHeader>&amp;R&amp;P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1"/>
  <sheetViews>
    <sheetView view="pageBreakPreview" zoomScale="120" zoomScaleSheetLayoutView="120" workbookViewId="0">
      <selection activeCell="D16" sqref="D16"/>
    </sheetView>
  </sheetViews>
  <sheetFormatPr defaultRowHeight="18.75" customHeight="1"/>
  <cols>
    <col min="1" max="1" width="27.625" style="25" customWidth="1"/>
    <col min="2" max="7" width="15.875" style="25" customWidth="1"/>
    <col min="8" max="8" width="21.5" style="25" customWidth="1"/>
    <col min="9" max="16384" width="9" style="25"/>
  </cols>
  <sheetData>
    <row r="1" spans="1:8" ht="18.75" customHeight="1">
      <c r="A1" s="29" t="s">
        <v>64</v>
      </c>
      <c r="B1" s="24"/>
      <c r="C1" s="24"/>
      <c r="D1" s="24"/>
      <c r="E1" s="24"/>
      <c r="F1" s="24"/>
      <c r="G1" s="24"/>
    </row>
    <row r="2" spans="1:8" ht="18.75" customHeight="1">
      <c r="A2" s="518" t="s">
        <v>18</v>
      </c>
      <c r="B2" s="518" t="s">
        <v>37</v>
      </c>
      <c r="C2" s="518"/>
      <c r="D2" s="518"/>
      <c r="E2" s="518"/>
      <c r="F2" s="518"/>
      <c r="G2" s="518"/>
    </row>
    <row r="3" spans="1:8" ht="18.75" customHeight="1">
      <c r="A3" s="518"/>
      <c r="B3" s="65" t="s">
        <v>10</v>
      </c>
      <c r="C3" s="65" t="s">
        <v>13</v>
      </c>
      <c r="D3" s="65" t="s">
        <v>14</v>
      </c>
      <c r="E3" s="65" t="s">
        <v>15</v>
      </c>
      <c r="F3" s="65" t="s">
        <v>16</v>
      </c>
      <c r="G3" s="65" t="s">
        <v>38</v>
      </c>
    </row>
    <row r="4" spans="1:8" ht="18.75" customHeight="1">
      <c r="A4" s="69" t="s">
        <v>19</v>
      </c>
      <c r="B4" s="70"/>
      <c r="C4" s="70"/>
      <c r="D4" s="70"/>
      <c r="E4" s="70"/>
      <c r="F4" s="70"/>
      <c r="G4" s="70"/>
    </row>
    <row r="5" spans="1:8" ht="18.75" customHeight="1">
      <c r="A5" s="71" t="s">
        <v>40</v>
      </c>
      <c r="B5" s="72">
        <v>0</v>
      </c>
      <c r="C5" s="50">
        <f>SUM(รายได้!D11:E11)</f>
        <v>1009000</v>
      </c>
      <c r="D5" s="50">
        <f>SUM(รายได้!F11:G11)</f>
        <v>0</v>
      </c>
      <c r="E5" s="50">
        <f>SUM(รายได้!H11)</f>
        <v>60000</v>
      </c>
      <c r="F5" s="50">
        <f>SUM(รายได้!I11)</f>
        <v>8188.33</v>
      </c>
      <c r="G5" s="72">
        <f>SUM(B5:F5)</f>
        <v>1077188.33</v>
      </c>
      <c r="H5" s="25">
        <f>รายได้!J18</f>
        <v>18000</v>
      </c>
    </row>
    <row r="6" spans="1:8" ht="18.75" customHeight="1">
      <c r="A6" s="73" t="s">
        <v>41</v>
      </c>
      <c r="B6" s="74">
        <v>0</v>
      </c>
      <c r="C6" s="87">
        <f>SUM(รายได้!M11:N11)</f>
        <v>926396.8</v>
      </c>
      <c r="D6" s="87">
        <v>0</v>
      </c>
      <c r="E6" s="87">
        <f>SUM(รายได้!Q11)</f>
        <v>55712</v>
      </c>
      <c r="F6" s="87">
        <f>SUM(รายได้!R11)</f>
        <v>8188.33</v>
      </c>
      <c r="G6" s="86">
        <f>SUM(B6:F6)</f>
        <v>990297.13</v>
      </c>
    </row>
    <row r="7" spans="1:8" ht="18.75" customHeight="1">
      <c r="A7" s="71" t="s">
        <v>42</v>
      </c>
      <c r="B7" s="72">
        <v>0</v>
      </c>
      <c r="C7" s="50">
        <f>SUM(C5-C6)</f>
        <v>82603.199999999953</v>
      </c>
      <c r="D7" s="50">
        <f>SUM(D5-D6)</f>
        <v>0</v>
      </c>
      <c r="E7" s="50">
        <f>SUM(E5-E6)</f>
        <v>4288</v>
      </c>
      <c r="F7" s="50">
        <f>SUM(F5-F6)</f>
        <v>0</v>
      </c>
      <c r="G7" s="50">
        <f>SUM(G5-G6)</f>
        <v>86891.20000000007</v>
      </c>
    </row>
    <row r="8" spans="1:8" ht="18.75" customHeight="1">
      <c r="A8" s="75" t="s">
        <v>43</v>
      </c>
      <c r="B8" s="76">
        <v>0</v>
      </c>
      <c r="C8" s="59">
        <f>SUM((C6/C5)*100)</f>
        <v>91.813359762140735</v>
      </c>
      <c r="D8" s="59">
        <v>0</v>
      </c>
      <c r="E8" s="59">
        <f t="shared" ref="E8:F8" si="0">SUM((E6/E5)*100)</f>
        <v>92.853333333333339</v>
      </c>
      <c r="F8" s="59">
        <f t="shared" si="0"/>
        <v>100</v>
      </c>
      <c r="G8" s="59">
        <f>SUM((G6/G5)*100)</f>
        <v>91.933518254881193</v>
      </c>
    </row>
    <row r="9" spans="1:8" ht="18.75" customHeight="1">
      <c r="A9" s="69" t="s">
        <v>20</v>
      </c>
      <c r="B9" s="70"/>
      <c r="C9" s="70"/>
      <c r="D9" s="70"/>
      <c r="E9" s="70"/>
      <c r="F9" s="70"/>
      <c r="G9" s="70"/>
    </row>
    <row r="10" spans="1:8" ht="18.75" customHeight="1">
      <c r="A10" s="71" t="s">
        <v>40</v>
      </c>
      <c r="B10" s="72">
        <v>0</v>
      </c>
      <c r="C10" s="50">
        <f>SUM(รายได้!D24:E24)</f>
        <v>917500</v>
      </c>
      <c r="D10" s="50">
        <f>SUM(รายได้!F24:G24)</f>
        <v>92600</v>
      </c>
      <c r="E10" s="50">
        <f>SUM(รายได้!H24)</f>
        <v>90000</v>
      </c>
      <c r="F10" s="50">
        <f>SUM(รายได้!I24)</f>
        <v>53600</v>
      </c>
      <c r="G10" s="72">
        <f>SUM(B10:F10)</f>
        <v>1153700</v>
      </c>
      <c r="H10" s="25">
        <f>รายได้!J36</f>
        <v>17800</v>
      </c>
    </row>
    <row r="11" spans="1:8" ht="18.75" customHeight="1">
      <c r="A11" s="73" t="s">
        <v>41</v>
      </c>
      <c r="B11" s="74">
        <v>0</v>
      </c>
      <c r="C11" s="87">
        <f>SUM(รายได้!M24:N24)</f>
        <v>842999.1</v>
      </c>
      <c r="D11" s="87">
        <f>SUM(รายได้!O24:P24)</f>
        <v>92600</v>
      </c>
      <c r="E11" s="87">
        <f>SUM(รายได้!Q24)</f>
        <v>81000</v>
      </c>
      <c r="F11" s="87">
        <f>SUM(รายได้!R24)</f>
        <v>53600</v>
      </c>
      <c r="G11" s="86">
        <f>SUM(B11:F11)</f>
        <v>1070199.1000000001</v>
      </c>
    </row>
    <row r="12" spans="1:8" ht="18.75" customHeight="1">
      <c r="A12" s="71" t="s">
        <v>42</v>
      </c>
      <c r="B12" s="72">
        <v>0</v>
      </c>
      <c r="C12" s="50">
        <f>SUM(C10-C11)</f>
        <v>74500.900000000023</v>
      </c>
      <c r="D12" s="50">
        <f>SUM(D10-D11)</f>
        <v>0</v>
      </c>
      <c r="E12" s="50">
        <f>SUM(E10-E11)</f>
        <v>9000</v>
      </c>
      <c r="F12" s="50">
        <f>SUM(F10-F11)</f>
        <v>0</v>
      </c>
      <c r="G12" s="50">
        <f>SUM(G10-G11)</f>
        <v>83500.899999999907</v>
      </c>
    </row>
    <row r="13" spans="1:8" ht="18.75" customHeight="1">
      <c r="A13" s="75" t="s">
        <v>43</v>
      </c>
      <c r="B13" s="76">
        <v>0</v>
      </c>
      <c r="C13" s="59">
        <f>SUM((C11/C10)*100)</f>
        <v>91.880010899182565</v>
      </c>
      <c r="D13" s="59">
        <f t="shared" ref="D13:F13" si="1">SUM((D11/D10)*100)</f>
        <v>100</v>
      </c>
      <c r="E13" s="59">
        <f t="shared" si="1"/>
        <v>90</v>
      </c>
      <c r="F13" s="59">
        <f t="shared" si="1"/>
        <v>100</v>
      </c>
      <c r="G13" s="59">
        <f>SUM((G11/G10)*100)</f>
        <v>92.762338562884636</v>
      </c>
    </row>
    <row r="14" spans="1:8" ht="18.75" customHeight="1">
      <c r="A14" s="69" t="s">
        <v>21</v>
      </c>
      <c r="B14" s="70"/>
      <c r="C14" s="70"/>
      <c r="D14" s="70"/>
      <c r="E14" s="70"/>
      <c r="F14" s="70"/>
      <c r="G14" s="70"/>
    </row>
    <row r="15" spans="1:8" ht="18.75" customHeight="1">
      <c r="A15" s="71" t="s">
        <v>40</v>
      </c>
      <c r="B15" s="72">
        <v>0</v>
      </c>
      <c r="C15" s="50">
        <f>SUM(รายได้!D38:E38)</f>
        <v>1371485.2</v>
      </c>
      <c r="D15" s="50">
        <f>SUM(รายได้!F38:G38)</f>
        <v>63850</v>
      </c>
      <c r="E15" s="50">
        <f>SUM(รายได้!Q38)</f>
        <v>0</v>
      </c>
      <c r="F15" s="50">
        <f>SUM(รายได้!I38)</f>
        <v>300000</v>
      </c>
      <c r="G15" s="72">
        <f>SUM(B15:F15)</f>
        <v>1735335.2</v>
      </c>
      <c r="H15" s="25">
        <f>รายได้!J58</f>
        <v>51015</v>
      </c>
    </row>
    <row r="16" spans="1:8" ht="18.75" customHeight="1">
      <c r="A16" s="73" t="s">
        <v>41</v>
      </c>
      <c r="B16" s="74">
        <v>0</v>
      </c>
      <c r="C16" s="87">
        <f>SUM(รายได้!M38:N38)</f>
        <v>1228814.19</v>
      </c>
      <c r="D16" s="87">
        <f>SUM(รายได้!O38:P38)</f>
        <v>55850</v>
      </c>
      <c r="E16" s="87">
        <f>SUM(รายได้!Q38)</f>
        <v>0</v>
      </c>
      <c r="F16" s="87">
        <f>SUM(รายได้!R38)</f>
        <v>294900</v>
      </c>
      <c r="G16" s="72">
        <f>SUM(B16:F16)</f>
        <v>1579564.19</v>
      </c>
    </row>
    <row r="17" spans="1:8" ht="18.75" customHeight="1">
      <c r="A17" s="71" t="s">
        <v>42</v>
      </c>
      <c r="B17" s="72">
        <v>0</v>
      </c>
      <c r="C17" s="50">
        <f>SUM(C15-C16)</f>
        <v>142671.01</v>
      </c>
      <c r="D17" s="50">
        <f>SUM(D15-D16)</f>
        <v>8000</v>
      </c>
      <c r="E17" s="50">
        <f>SUM(E15-E16)</f>
        <v>0</v>
      </c>
      <c r="F17" s="50">
        <f>SUM(F15-F16)</f>
        <v>5100</v>
      </c>
      <c r="G17" s="50">
        <f>SUM(G15-G16)</f>
        <v>155771.01</v>
      </c>
    </row>
    <row r="18" spans="1:8" ht="18.75" customHeight="1">
      <c r="A18" s="75" t="s">
        <v>43</v>
      </c>
      <c r="B18" s="76">
        <v>0</v>
      </c>
      <c r="C18" s="59">
        <f>SUM((C16/C15)*100)</f>
        <v>89.597335064206305</v>
      </c>
      <c r="D18" s="59">
        <f>SUM((D16/D15)*100)</f>
        <v>87.470634299138609</v>
      </c>
      <c r="E18" s="59">
        <v>0</v>
      </c>
      <c r="F18" s="59">
        <f>SUM((F16/F15)*100)</f>
        <v>98.3</v>
      </c>
      <c r="G18" s="59">
        <f>SUM((G16/G15)*100)</f>
        <v>91.023578038410108</v>
      </c>
    </row>
    <row r="19" spans="1:8" ht="18.75" customHeight="1">
      <c r="A19" s="69" t="s">
        <v>22</v>
      </c>
      <c r="B19" s="70"/>
      <c r="C19" s="70"/>
      <c r="D19" s="70"/>
      <c r="E19" s="70"/>
      <c r="F19" s="70"/>
      <c r="G19" s="70"/>
    </row>
    <row r="20" spans="1:8" ht="18.75" customHeight="1">
      <c r="A20" s="71" t="s">
        <v>40</v>
      </c>
      <c r="B20" s="72">
        <v>0</v>
      </c>
      <c r="C20" s="50">
        <f>SUM(รายได้!D48:E48)</f>
        <v>1162314</v>
      </c>
      <c r="D20" s="50">
        <f>SUM(รายได้!F48:G48)</f>
        <v>62900</v>
      </c>
      <c r="E20" s="50">
        <f>SUM(รายได้!H48)</f>
        <v>38000</v>
      </c>
      <c r="F20" s="50">
        <f>SUM(รายได้!I48)</f>
        <v>54784</v>
      </c>
      <c r="G20" s="72">
        <f>SUM(B20:F20)</f>
        <v>1317998</v>
      </c>
      <c r="H20" s="25">
        <f>รายได้!J88</f>
        <v>1746000</v>
      </c>
    </row>
    <row r="21" spans="1:8" ht="18.75" customHeight="1">
      <c r="A21" s="73" t="s">
        <v>41</v>
      </c>
      <c r="B21" s="74">
        <v>0</v>
      </c>
      <c r="C21" s="87">
        <f>SUM(รายได้!M48:N48)</f>
        <v>1135658.0900000001</v>
      </c>
      <c r="D21" s="87">
        <f>SUM(รายได้!O48:P48)</f>
        <v>61800</v>
      </c>
      <c r="E21" s="87">
        <f>SUM(รายได้!Q48)</f>
        <v>38000</v>
      </c>
      <c r="F21" s="87">
        <f>SUM(รายได้!R48)</f>
        <v>49824</v>
      </c>
      <c r="G21" s="86">
        <f>SUM(B21:F21)</f>
        <v>1285282.0900000001</v>
      </c>
    </row>
    <row r="22" spans="1:8" ht="18.75" customHeight="1">
      <c r="A22" s="71" t="s">
        <v>42</v>
      </c>
      <c r="B22" s="72">
        <v>0</v>
      </c>
      <c r="C22" s="50">
        <f>SUM(C20-C21)</f>
        <v>26655.909999999916</v>
      </c>
      <c r="D22" s="50">
        <f>SUM(D20-D21)</f>
        <v>1100</v>
      </c>
      <c r="E22" s="50">
        <f>SUM(E20-E21)</f>
        <v>0</v>
      </c>
      <c r="F22" s="50">
        <f>SUM(F20-F21)</f>
        <v>4960</v>
      </c>
      <c r="G22" s="50">
        <f>SUM(G20-G21)</f>
        <v>32715.909999999916</v>
      </c>
    </row>
    <row r="23" spans="1:8" ht="18.75" customHeight="1">
      <c r="A23" s="75" t="s">
        <v>43</v>
      </c>
      <c r="B23" s="76">
        <v>0</v>
      </c>
      <c r="C23" s="59">
        <f>SUM((C21/C20)*100)</f>
        <v>97.706651558873077</v>
      </c>
      <c r="D23" s="59">
        <f t="shared" ref="D23:E23" si="2">SUM((D21/D20)*100)</f>
        <v>98.251192368839426</v>
      </c>
      <c r="E23" s="59">
        <f t="shared" si="2"/>
        <v>100</v>
      </c>
      <c r="F23" s="59">
        <v>0</v>
      </c>
      <c r="G23" s="59">
        <f>SUM((G21/G20)*100)</f>
        <v>97.517757234836481</v>
      </c>
    </row>
    <row r="24" spans="1:8" ht="18.75" customHeight="1">
      <c r="A24" s="69" t="s">
        <v>23</v>
      </c>
      <c r="B24" s="70"/>
      <c r="C24" s="70"/>
      <c r="D24" s="70"/>
      <c r="E24" s="70"/>
      <c r="F24" s="70"/>
      <c r="G24" s="70"/>
    </row>
    <row r="25" spans="1:8" ht="18.75" customHeight="1">
      <c r="A25" s="71" t="s">
        <v>40</v>
      </c>
      <c r="B25" s="72">
        <v>0</v>
      </c>
      <c r="C25" s="50">
        <f>SUM(รายได้!D59:E59)</f>
        <v>618000</v>
      </c>
      <c r="D25" s="50">
        <v>0</v>
      </c>
      <c r="E25" s="50">
        <f>SUM(0)</f>
        <v>0</v>
      </c>
      <c r="F25" s="50">
        <f>SUM(รายได้!I59)</f>
        <v>10395</v>
      </c>
      <c r="G25" s="72">
        <f>SUM(B25:F25)</f>
        <v>628395</v>
      </c>
      <c r="H25" s="25">
        <f>รายได้!J114</f>
        <v>0</v>
      </c>
    </row>
    <row r="26" spans="1:8" ht="18.75" customHeight="1">
      <c r="A26" s="73" t="s">
        <v>41</v>
      </c>
      <c r="B26" s="74">
        <v>0</v>
      </c>
      <c r="C26" s="87">
        <f>SUM(รายได้!M59:N59)</f>
        <v>542031.80000000005</v>
      </c>
      <c r="D26" s="87">
        <f>SUM(0)</f>
        <v>0</v>
      </c>
      <c r="E26" s="87">
        <f>SUM(0)</f>
        <v>0</v>
      </c>
      <c r="F26" s="87">
        <f>SUM(รายได้!R59)</f>
        <v>10395</v>
      </c>
      <c r="G26" s="86">
        <f>SUM(B26:F26)</f>
        <v>552426.80000000005</v>
      </c>
    </row>
    <row r="27" spans="1:8" ht="18.75" customHeight="1">
      <c r="A27" s="71" t="s">
        <v>42</v>
      </c>
      <c r="B27" s="72">
        <v>0</v>
      </c>
      <c r="C27" s="50">
        <f>SUM(C25-C26)</f>
        <v>75968.199999999953</v>
      </c>
      <c r="D27" s="50">
        <f>SUM(D25-D26)</f>
        <v>0</v>
      </c>
      <c r="E27" s="50">
        <f>SUM(E25-E26)</f>
        <v>0</v>
      </c>
      <c r="F27" s="50">
        <f>SUM(F25-F26)</f>
        <v>0</v>
      </c>
      <c r="G27" s="50">
        <f>SUM(G25-G26)</f>
        <v>75968.199999999953</v>
      </c>
    </row>
    <row r="28" spans="1:8" ht="18.75" customHeight="1">
      <c r="A28" s="75" t="s">
        <v>43</v>
      </c>
      <c r="B28" s="76">
        <v>0</v>
      </c>
      <c r="C28" s="59">
        <f>SUM((C26/C25)*100)</f>
        <v>87.70741100323626</v>
      </c>
      <c r="D28" s="59">
        <v>0</v>
      </c>
      <c r="E28" s="59">
        <v>0</v>
      </c>
      <c r="F28" s="59">
        <f t="shared" ref="F28" si="3">SUM((F26/F25)*100)</f>
        <v>100</v>
      </c>
      <c r="G28" s="59">
        <f>SUM((G26/G25)*100)</f>
        <v>87.91075676922955</v>
      </c>
    </row>
    <row r="29" spans="1:8" ht="18.75" customHeight="1">
      <c r="A29" s="69" t="s">
        <v>24</v>
      </c>
      <c r="B29" s="70"/>
      <c r="C29" s="70"/>
      <c r="D29" s="70"/>
      <c r="E29" s="70"/>
      <c r="F29" s="70"/>
      <c r="G29" s="70"/>
    </row>
    <row r="30" spans="1:8" ht="18.75" customHeight="1">
      <c r="A30" s="71" t="s">
        <v>40</v>
      </c>
      <c r="B30" s="72">
        <v>0</v>
      </c>
      <c r="C30" s="50">
        <f>SUM(รายได้!D60:E60)</f>
        <v>144500</v>
      </c>
      <c r="D30" s="50">
        <f>SUM(รายได้!F60:G60)</f>
        <v>15400</v>
      </c>
      <c r="E30" s="50">
        <v>0</v>
      </c>
      <c r="F30" s="50">
        <v>0</v>
      </c>
      <c r="G30" s="72">
        <f>SUM(B30:F30)</f>
        <v>159900</v>
      </c>
      <c r="H30" s="25">
        <f>รายได้!J123</f>
        <v>0</v>
      </c>
    </row>
    <row r="31" spans="1:8" ht="18.75" customHeight="1">
      <c r="A31" s="73" t="s">
        <v>41</v>
      </c>
      <c r="B31" s="74">
        <v>0</v>
      </c>
      <c r="C31" s="87">
        <f>SUM(รายได้!M60:N60)</f>
        <v>138987.76</v>
      </c>
      <c r="D31" s="87">
        <f>SUM(รายได้!O60:P60)</f>
        <v>15400</v>
      </c>
      <c r="E31" s="87">
        <f>SUM(รายได้!Q65)</f>
        <v>0</v>
      </c>
      <c r="F31" s="87">
        <v>0</v>
      </c>
      <c r="G31" s="72">
        <f>SUM(B31:F31)</f>
        <v>154387.76</v>
      </c>
    </row>
    <row r="32" spans="1:8" ht="18.75" customHeight="1">
      <c r="A32" s="71" t="s">
        <v>42</v>
      </c>
      <c r="B32" s="72">
        <v>0</v>
      </c>
      <c r="C32" s="50">
        <f>SUM(C30-C31)</f>
        <v>5512.2399999999907</v>
      </c>
      <c r="D32" s="50">
        <f>SUM(D30-D31)</f>
        <v>0</v>
      </c>
      <c r="E32" s="50">
        <f>SUM(E30-E31)</f>
        <v>0</v>
      </c>
      <c r="F32" s="50">
        <f>SUM(F30-F31)</f>
        <v>0</v>
      </c>
      <c r="G32" s="50">
        <f>SUM(G30-G31)</f>
        <v>5512.2399999999907</v>
      </c>
    </row>
    <row r="33" spans="1:8" ht="18.75" customHeight="1">
      <c r="A33" s="75" t="s">
        <v>43</v>
      </c>
      <c r="B33" s="76">
        <v>0</v>
      </c>
      <c r="C33" s="59">
        <f>SUM((C31/C30)*100)</f>
        <v>96.185301038062292</v>
      </c>
      <c r="D33" s="59">
        <f>SUM((D31/D30)*100)</f>
        <v>100</v>
      </c>
      <c r="E33" s="59">
        <v>0</v>
      </c>
      <c r="F33" s="59">
        <v>0</v>
      </c>
      <c r="G33" s="59">
        <f>SUM((G31/G30)*100)</f>
        <v>96.552695434646665</v>
      </c>
    </row>
    <row r="34" spans="1:8" ht="18.75" customHeight="1">
      <c r="A34" s="77" t="s">
        <v>25</v>
      </c>
      <c r="B34" s="70"/>
      <c r="C34" s="70"/>
      <c r="D34" s="70"/>
      <c r="E34" s="70"/>
      <c r="F34" s="70"/>
      <c r="G34" s="70"/>
    </row>
    <row r="35" spans="1:8" ht="18.75" customHeight="1">
      <c r="A35" s="71" t="s">
        <v>40</v>
      </c>
      <c r="B35" s="72">
        <v>0</v>
      </c>
      <c r="C35" s="50">
        <f>SUM(รายได้!D64:E64)</f>
        <v>1130720</v>
      </c>
      <c r="D35" s="50">
        <f>SUM(รายได้!F64:G64)</f>
        <v>89280</v>
      </c>
      <c r="E35" s="50">
        <f>SUM(รายได้!H64)</f>
        <v>40000</v>
      </c>
      <c r="F35" s="50">
        <f>SUM(รายได้!I64)</f>
        <v>40000</v>
      </c>
      <c r="G35" s="72">
        <f>SUM(B35:F35)</f>
        <v>1300000</v>
      </c>
      <c r="H35" s="25" t="e">
        <f>รายได้!#REF!</f>
        <v>#REF!</v>
      </c>
    </row>
    <row r="36" spans="1:8" ht="18.75" customHeight="1">
      <c r="A36" s="73" t="s">
        <v>41</v>
      </c>
      <c r="B36" s="74">
        <v>0</v>
      </c>
      <c r="C36" s="87">
        <f>SUM(รายได้!M64:N64)</f>
        <v>1054076.77</v>
      </c>
      <c r="D36" s="87">
        <f>SUM(รายได้!O64:P64)</f>
        <v>89280</v>
      </c>
      <c r="E36" s="87">
        <f>SUM(รายได้!Q64)</f>
        <v>24000</v>
      </c>
      <c r="F36" s="87">
        <f>SUM(รายได้!R64)</f>
        <v>39980</v>
      </c>
      <c r="G36" s="86">
        <f>SUM(B36:F36)</f>
        <v>1207336.77</v>
      </c>
    </row>
    <row r="37" spans="1:8" ht="18.75" customHeight="1">
      <c r="A37" s="71" t="s">
        <v>42</v>
      </c>
      <c r="B37" s="72">
        <v>0</v>
      </c>
      <c r="C37" s="50">
        <f>SUM(C35-C36)</f>
        <v>76643.229999999981</v>
      </c>
      <c r="D37" s="50">
        <f>SUM(D35-D36)</f>
        <v>0</v>
      </c>
      <c r="E37" s="50">
        <f>SUM(E35-E36)</f>
        <v>16000</v>
      </c>
      <c r="F37" s="50">
        <f>SUM(F35-F36)</f>
        <v>20</v>
      </c>
      <c r="G37" s="50">
        <f>SUM(G35-G36)</f>
        <v>92663.229999999981</v>
      </c>
    </row>
    <row r="38" spans="1:8" ht="18.75" customHeight="1">
      <c r="A38" s="75" t="s">
        <v>43</v>
      </c>
      <c r="B38" s="76">
        <v>0</v>
      </c>
      <c r="C38" s="59">
        <f>SUM((C36/C35)*100)</f>
        <v>93.221732170652331</v>
      </c>
      <c r="D38" s="59">
        <f t="shared" ref="D38:F38" si="4">SUM((D36/D35)*100)</f>
        <v>100</v>
      </c>
      <c r="E38" s="59">
        <f t="shared" si="4"/>
        <v>60</v>
      </c>
      <c r="F38" s="59">
        <f t="shared" si="4"/>
        <v>99.95</v>
      </c>
      <c r="G38" s="59">
        <f>SUM((G36/G35)*100)</f>
        <v>92.872059230769239</v>
      </c>
    </row>
    <row r="39" spans="1:8" ht="18.75" customHeight="1">
      <c r="A39" s="69" t="s">
        <v>26</v>
      </c>
      <c r="B39" s="70"/>
      <c r="C39" s="70"/>
      <c r="D39" s="70"/>
      <c r="E39" s="70"/>
      <c r="F39" s="70"/>
      <c r="G39" s="70"/>
    </row>
    <row r="40" spans="1:8" ht="18.75" customHeight="1">
      <c r="A40" s="71" t="s">
        <v>40</v>
      </c>
      <c r="B40" s="72">
        <v>0</v>
      </c>
      <c r="C40" s="50">
        <f>SUM(รายได้!D67:E67)</f>
        <v>601400</v>
      </c>
      <c r="D40" s="50">
        <f>SUM(รายได้!F67:G67)</f>
        <v>0</v>
      </c>
      <c r="E40" s="50">
        <f>SUM(รายได้!H67)</f>
        <v>1542000</v>
      </c>
      <c r="F40" s="50">
        <f>SUM(รายได้!I67)</f>
        <v>103740</v>
      </c>
      <c r="G40" s="72">
        <f>SUM(B40:F40)</f>
        <v>2247140</v>
      </c>
      <c r="H40" s="25" t="e">
        <f>รายได้!#REF!</f>
        <v>#REF!</v>
      </c>
    </row>
    <row r="41" spans="1:8" ht="18.75" customHeight="1">
      <c r="A41" s="73" t="s">
        <v>41</v>
      </c>
      <c r="B41" s="74">
        <v>0</v>
      </c>
      <c r="C41" s="87">
        <f>SUM(รายได้!M67:N67)</f>
        <v>599459.80000000005</v>
      </c>
      <c r="D41" s="87">
        <v>0</v>
      </c>
      <c r="E41" s="87">
        <f>SUM(รายได้!Q67)</f>
        <v>1341000</v>
      </c>
      <c r="F41" s="87">
        <f>SUM(รายได้!R67)</f>
        <v>92050</v>
      </c>
      <c r="G41" s="72">
        <f>SUM(B41:F41)</f>
        <v>2032509.8</v>
      </c>
    </row>
    <row r="42" spans="1:8" ht="18.75" customHeight="1">
      <c r="A42" s="71" t="s">
        <v>42</v>
      </c>
      <c r="B42" s="72">
        <v>0</v>
      </c>
      <c r="C42" s="50">
        <f>SUM(C40-C41)</f>
        <v>1940.1999999999534</v>
      </c>
      <c r="D42" s="50">
        <f>SUM(D40-D41)</f>
        <v>0</v>
      </c>
      <c r="E42" s="50">
        <f>SUM(E40-E41)</f>
        <v>201000</v>
      </c>
      <c r="F42" s="50">
        <f>SUM(F40-F41)</f>
        <v>11690</v>
      </c>
      <c r="G42" s="50">
        <f>SUM(G40-G41)</f>
        <v>214630.19999999995</v>
      </c>
    </row>
    <row r="43" spans="1:8" ht="18.75" customHeight="1">
      <c r="A43" s="75" t="s">
        <v>43</v>
      </c>
      <c r="B43" s="76">
        <v>0</v>
      </c>
      <c r="C43" s="59">
        <f>SUM((C41/C40)*100)</f>
        <v>99.677386099102108</v>
      </c>
      <c r="D43" s="59">
        <v>0</v>
      </c>
      <c r="E43" s="59">
        <f t="shared" ref="E43:F43" si="5">SUM((E41/E40)*100)</f>
        <v>86.964980544747078</v>
      </c>
      <c r="F43" s="59">
        <f t="shared" si="5"/>
        <v>88.731443994601889</v>
      </c>
      <c r="G43" s="59">
        <f>SUM((G41/G40)*100)</f>
        <v>90.448739286381809</v>
      </c>
    </row>
    <row r="44" spans="1:8" ht="18.75" customHeight="1">
      <c r="A44" s="69" t="s">
        <v>27</v>
      </c>
      <c r="B44" s="70"/>
      <c r="C44" s="70"/>
      <c r="D44" s="70"/>
      <c r="E44" s="70"/>
      <c r="F44" s="70"/>
      <c r="G44" s="70"/>
    </row>
    <row r="45" spans="1:8" ht="18.75" customHeight="1">
      <c r="A45" s="71" t="s">
        <v>40</v>
      </c>
      <c r="B45" s="72">
        <v>0</v>
      </c>
      <c r="C45" s="50">
        <f>SUM(รายได้!D71:E71)</f>
        <v>778000</v>
      </c>
      <c r="D45" s="50">
        <f>SUM(รายได้!F71:G71)</f>
        <v>0</v>
      </c>
      <c r="E45" s="50">
        <f>SUM(รายได้!H71)</f>
        <v>0</v>
      </c>
      <c r="F45" s="50">
        <f>SUM(รายได้!I71)</f>
        <v>12000</v>
      </c>
      <c r="G45" s="72">
        <f>SUM(B45:F45)</f>
        <v>790000</v>
      </c>
      <c r="H45" s="25" t="e">
        <f>รายได้!#REF!</f>
        <v>#REF!</v>
      </c>
    </row>
    <row r="46" spans="1:8" ht="18.75" customHeight="1">
      <c r="A46" s="73" t="s">
        <v>41</v>
      </c>
      <c r="B46" s="74">
        <v>0</v>
      </c>
      <c r="C46" s="87">
        <f>SUM(รายได้!M71:N71)</f>
        <v>768416</v>
      </c>
      <c r="D46" s="87">
        <v>0</v>
      </c>
      <c r="E46" s="87">
        <v>0</v>
      </c>
      <c r="F46" s="87">
        <f>SUM(รายได้!R71)</f>
        <v>0</v>
      </c>
      <c r="G46" s="72">
        <f>SUM(B46:F46)</f>
        <v>768416</v>
      </c>
    </row>
    <row r="47" spans="1:8" ht="18.75" customHeight="1">
      <c r="A47" s="71" t="s">
        <v>42</v>
      </c>
      <c r="B47" s="72">
        <v>0</v>
      </c>
      <c r="C47" s="50">
        <f>SUM(C45-C46)</f>
        <v>9584</v>
      </c>
      <c r="D47" s="50">
        <f>SUM(D45-D46)</f>
        <v>0</v>
      </c>
      <c r="E47" s="50">
        <f>SUM(E45-E46)</f>
        <v>0</v>
      </c>
      <c r="F47" s="50">
        <f>SUM(F45-F46)</f>
        <v>12000</v>
      </c>
      <c r="G47" s="50">
        <f>SUM(G45-G46)</f>
        <v>21584</v>
      </c>
    </row>
    <row r="48" spans="1:8" ht="18.75" customHeight="1">
      <c r="A48" s="75" t="s">
        <v>43</v>
      </c>
      <c r="B48" s="76">
        <v>0</v>
      </c>
      <c r="C48" s="59">
        <f>SUM((C46/C45)*100)</f>
        <v>98.768123393316202</v>
      </c>
      <c r="D48" s="59">
        <v>0</v>
      </c>
      <c r="E48" s="59">
        <v>0</v>
      </c>
      <c r="F48" s="59">
        <v>0</v>
      </c>
      <c r="G48" s="59">
        <f t="shared" ref="G48" si="6">SUM((G46/G45)*100)</f>
        <v>97.267848101265812</v>
      </c>
    </row>
    <row r="49" spans="1:8" ht="18.75" customHeight="1">
      <c r="A49" s="69" t="s">
        <v>28</v>
      </c>
      <c r="B49" s="70"/>
      <c r="C49" s="70"/>
      <c r="D49" s="70"/>
      <c r="E49" s="70"/>
      <c r="F49" s="70"/>
      <c r="G49" s="70"/>
    </row>
    <row r="50" spans="1:8" ht="18.75" customHeight="1">
      <c r="A50" s="71" t="s">
        <v>40</v>
      </c>
      <c r="B50" s="72">
        <v>0</v>
      </c>
      <c r="C50" s="50">
        <f>SUM(รายได้!D103:E103)</f>
        <v>82500</v>
      </c>
      <c r="D50" s="50">
        <f>SUM(รายได้!F103:G103)</f>
        <v>0</v>
      </c>
      <c r="E50" s="50">
        <f>SUM(รายได้!H103)</f>
        <v>0</v>
      </c>
      <c r="F50" s="50">
        <f>SUM(รายได้!I103)</f>
        <v>0</v>
      </c>
      <c r="G50" s="72">
        <f>SUM(B50:F50)</f>
        <v>82500</v>
      </c>
      <c r="H50" s="25">
        <f>รายได้!J149</f>
        <v>0</v>
      </c>
    </row>
    <row r="51" spans="1:8" ht="18.75" customHeight="1">
      <c r="A51" s="73" t="s">
        <v>41</v>
      </c>
      <c r="B51" s="74">
        <v>0</v>
      </c>
      <c r="C51" s="87">
        <f>SUM(รายได้!M103:N103)</f>
        <v>51619</v>
      </c>
      <c r="D51" s="87">
        <f>SUM(รายได้!O103:P103)</f>
        <v>0</v>
      </c>
      <c r="E51" s="87">
        <f>SUM(รายได้!Q103)</f>
        <v>0</v>
      </c>
      <c r="F51" s="87">
        <f>SUM(รายได้!R103)</f>
        <v>0</v>
      </c>
      <c r="G51" s="86">
        <f>SUM(B51:F51)</f>
        <v>51619</v>
      </c>
    </row>
    <row r="52" spans="1:8" ht="18.75" customHeight="1">
      <c r="A52" s="71" t="s">
        <v>42</v>
      </c>
      <c r="B52" s="72">
        <v>0</v>
      </c>
      <c r="C52" s="50">
        <f>SUM(C50-C51)</f>
        <v>30881</v>
      </c>
      <c r="D52" s="50">
        <f>SUM(D50-D51)</f>
        <v>0</v>
      </c>
      <c r="E52" s="50">
        <f>SUM(E50-E51)</f>
        <v>0</v>
      </c>
      <c r="F52" s="50">
        <f>SUM(F50-F51)</f>
        <v>0</v>
      </c>
      <c r="G52" s="50">
        <f>SUM(G50-G51)</f>
        <v>30881</v>
      </c>
    </row>
    <row r="53" spans="1:8" ht="18.75" customHeight="1">
      <c r="A53" s="75" t="s">
        <v>43</v>
      </c>
      <c r="B53" s="76">
        <v>0</v>
      </c>
      <c r="C53" s="59">
        <f>SUM((C51/C50)*100)</f>
        <v>62.56848484848485</v>
      </c>
      <c r="D53" s="59">
        <v>0</v>
      </c>
      <c r="E53" s="59">
        <v>0</v>
      </c>
      <c r="F53" s="59">
        <v>0</v>
      </c>
      <c r="G53" s="59">
        <f>SUM((G51/G50)*100)</f>
        <v>62.56848484848485</v>
      </c>
    </row>
    <row r="54" spans="1:8" ht="18.75" customHeight="1">
      <c r="A54" s="69" t="s">
        <v>29</v>
      </c>
      <c r="B54" s="70"/>
      <c r="C54" s="70"/>
      <c r="D54" s="70"/>
      <c r="E54" s="70"/>
      <c r="F54" s="70"/>
      <c r="G54" s="70"/>
    </row>
    <row r="55" spans="1:8" ht="18.75" customHeight="1">
      <c r="A55" s="71" t="s">
        <v>40</v>
      </c>
      <c r="B55" s="72">
        <v>0</v>
      </c>
      <c r="C55" s="50">
        <f>SUM(รายได้!D104:E104)</f>
        <v>49400</v>
      </c>
      <c r="D55" s="50">
        <f>SUM(รายได้!F104:G104)</f>
        <v>0</v>
      </c>
      <c r="E55" s="50">
        <f>SUM(รายได้!H104)</f>
        <v>0</v>
      </c>
      <c r="F55" s="50">
        <f>SUM(รายได้!I104)</f>
        <v>0</v>
      </c>
      <c r="G55" s="72">
        <f>SUM(B55:F55)</f>
        <v>49400</v>
      </c>
      <c r="H55" s="25">
        <f>รายได้!J150</f>
        <v>0</v>
      </c>
    </row>
    <row r="56" spans="1:8" ht="18.75" customHeight="1">
      <c r="A56" s="73" t="s">
        <v>41</v>
      </c>
      <c r="B56" s="74">
        <v>0</v>
      </c>
      <c r="C56" s="87">
        <f>SUM(รายได้!M104:N104)</f>
        <v>21100</v>
      </c>
      <c r="D56" s="87">
        <f>SUM(รายได้!O104:P104)</f>
        <v>0</v>
      </c>
      <c r="E56" s="87">
        <f>SUM(รายได้!Q104)</f>
        <v>0</v>
      </c>
      <c r="F56" s="87">
        <f>SUM(รายได้!R104)</f>
        <v>0</v>
      </c>
      <c r="G56" s="86">
        <f>SUM(B56:F56)</f>
        <v>21100</v>
      </c>
    </row>
    <row r="57" spans="1:8" ht="18.75" customHeight="1">
      <c r="A57" s="71" t="s">
        <v>42</v>
      </c>
      <c r="B57" s="72">
        <v>0</v>
      </c>
      <c r="C57" s="50">
        <f>SUM(C55-C56)</f>
        <v>28300</v>
      </c>
      <c r="D57" s="50">
        <f>SUM(D55-D56)</f>
        <v>0</v>
      </c>
      <c r="E57" s="50">
        <f>SUM(E55-E56)</f>
        <v>0</v>
      </c>
      <c r="F57" s="50">
        <f>SUM(F55-F56)</f>
        <v>0</v>
      </c>
      <c r="G57" s="50">
        <f>SUM(G55-G56)</f>
        <v>28300</v>
      </c>
    </row>
    <row r="58" spans="1:8" ht="18.75" customHeight="1">
      <c r="A58" s="75" t="s">
        <v>43</v>
      </c>
      <c r="B58" s="76">
        <v>0</v>
      </c>
      <c r="C58" s="59">
        <f>SUM((C56/C55)*100)</f>
        <v>42.712550607287447</v>
      </c>
      <c r="D58" s="59">
        <v>0</v>
      </c>
      <c r="E58" s="59">
        <v>0</v>
      </c>
      <c r="F58" s="59">
        <v>0</v>
      </c>
      <c r="G58" s="59">
        <f>SUM((G56/G55)*100)</f>
        <v>42.712550607287447</v>
      </c>
    </row>
    <row r="59" spans="1:8" ht="18.75" customHeight="1">
      <c r="A59" s="69" t="s">
        <v>30</v>
      </c>
      <c r="B59" s="70"/>
      <c r="C59" s="70"/>
      <c r="D59" s="70"/>
      <c r="E59" s="70"/>
      <c r="F59" s="70"/>
      <c r="G59" s="70"/>
    </row>
    <row r="60" spans="1:8" ht="18.75" customHeight="1">
      <c r="A60" s="71" t="s">
        <v>40</v>
      </c>
      <c r="B60" s="72">
        <v>0</v>
      </c>
      <c r="C60" s="50">
        <f>SUM(รายได้!D108:E108)</f>
        <v>2734640</v>
      </c>
      <c r="D60" s="50">
        <f>SUM(รายได้!F108:G108)</f>
        <v>0</v>
      </c>
      <c r="E60" s="50">
        <f>SUM(รายได้!H108)</f>
        <v>60000</v>
      </c>
      <c r="F60" s="50">
        <f>SUM(รายได้!I108)</f>
        <v>210000</v>
      </c>
      <c r="G60" s="72">
        <f>SUM(B60:F60)</f>
        <v>3004640</v>
      </c>
      <c r="H60" s="25">
        <f>รายได้!J154</f>
        <v>0</v>
      </c>
    </row>
    <row r="61" spans="1:8" ht="18.75" customHeight="1">
      <c r="A61" s="73" t="s">
        <v>41</v>
      </c>
      <c r="B61" s="74">
        <v>0</v>
      </c>
      <c r="C61" s="87">
        <f>SUM(รายได้!M108:N108)</f>
        <v>2061465.6000000001</v>
      </c>
      <c r="D61" s="87">
        <f>SUM(0)</f>
        <v>0</v>
      </c>
      <c r="E61" s="87">
        <f>SUM(รายได้!Q108)</f>
        <v>57000</v>
      </c>
      <c r="F61" s="87">
        <f>SUM(รายได้!R108)</f>
        <v>175405.2</v>
      </c>
      <c r="G61" s="86">
        <f>SUM(B61:F61)</f>
        <v>2293870.8000000003</v>
      </c>
    </row>
    <row r="62" spans="1:8" ht="18.75" customHeight="1">
      <c r="A62" s="71" t="s">
        <v>42</v>
      </c>
      <c r="B62" s="72">
        <v>0</v>
      </c>
      <c r="C62" s="50">
        <f>SUM(C60-C61)</f>
        <v>673174.39999999991</v>
      </c>
      <c r="D62" s="50">
        <f t="shared" ref="D62:F62" si="7">SUM(D60-D61)</f>
        <v>0</v>
      </c>
      <c r="E62" s="50">
        <f t="shared" si="7"/>
        <v>3000</v>
      </c>
      <c r="F62" s="50">
        <f t="shared" si="7"/>
        <v>34594.799999999988</v>
      </c>
      <c r="G62" s="50">
        <f>SUM(G60-G61)</f>
        <v>710769.19999999972</v>
      </c>
    </row>
    <row r="63" spans="1:8" ht="18.75" customHeight="1">
      <c r="A63" s="75" t="s">
        <v>43</v>
      </c>
      <c r="B63" s="76">
        <v>0</v>
      </c>
      <c r="C63" s="59">
        <f>SUM((C61/C60)*100)</f>
        <v>75.383436210982069</v>
      </c>
      <c r="D63" s="59">
        <v>0</v>
      </c>
      <c r="E63" s="59">
        <f t="shared" ref="E63:F63" si="8">SUM((E61/E60)*100)</f>
        <v>95</v>
      </c>
      <c r="F63" s="59">
        <f t="shared" si="8"/>
        <v>83.52628571428572</v>
      </c>
      <c r="G63" s="59">
        <f t="shared" ref="G63" si="9">SUM((G61/G60)*100)</f>
        <v>76.344280845625448</v>
      </c>
    </row>
    <row r="64" spans="1:8" ht="18.75" customHeight="1">
      <c r="A64" s="69" t="s">
        <v>31</v>
      </c>
      <c r="B64" s="70"/>
      <c r="C64" s="70"/>
      <c r="D64" s="70"/>
      <c r="E64" s="70"/>
      <c r="F64" s="70"/>
      <c r="G64" s="70"/>
    </row>
    <row r="65" spans="1:8" ht="18.75" customHeight="1">
      <c r="A65" s="71" t="s">
        <v>40</v>
      </c>
      <c r="B65" s="72">
        <v>0</v>
      </c>
      <c r="C65" s="50">
        <f>SUM(รายได้!D83:E83)</f>
        <v>7568195.5</v>
      </c>
      <c r="D65" s="50">
        <f>SUM(รายได้!F83:G83)</f>
        <v>4352582</v>
      </c>
      <c r="E65" s="50">
        <f>SUM(รายได้!H83)</f>
        <v>0</v>
      </c>
      <c r="F65" s="50">
        <f>SUM(รายได้!I83)</f>
        <v>1913989</v>
      </c>
      <c r="G65" s="72">
        <f>SUM(B65:F65)</f>
        <v>13834766.5</v>
      </c>
      <c r="H65" s="25">
        <f>รายได้!J127</f>
        <v>0</v>
      </c>
    </row>
    <row r="66" spans="1:8" ht="18.75" customHeight="1">
      <c r="A66" s="73" t="s">
        <v>41</v>
      </c>
      <c r="B66" s="74">
        <v>0</v>
      </c>
      <c r="C66" s="87">
        <f>SUM(รายได้!M83:N83)</f>
        <v>6120699.5499999989</v>
      </c>
      <c r="D66" s="87">
        <f>SUM(รายได้!O83:P83)</f>
        <v>3694970</v>
      </c>
      <c r="E66" s="87">
        <f>SUM(รายได้!Q83)</f>
        <v>0</v>
      </c>
      <c r="F66" s="87">
        <f>SUM(รายได้!R83)</f>
        <v>1607411</v>
      </c>
      <c r="G66" s="86">
        <f>SUM(B66:F66)</f>
        <v>11423080.549999999</v>
      </c>
    </row>
    <row r="67" spans="1:8" ht="18.75" customHeight="1">
      <c r="A67" s="71" t="s">
        <v>42</v>
      </c>
      <c r="B67" s="72">
        <v>0</v>
      </c>
      <c r="C67" s="50">
        <f>SUM(C65-C66)</f>
        <v>1447495.9500000011</v>
      </c>
      <c r="D67" s="50">
        <f>SUM(D65-D66)</f>
        <v>657612</v>
      </c>
      <c r="E67" s="50">
        <f>SUM(E65-E66)</f>
        <v>0</v>
      </c>
      <c r="F67" s="50">
        <f>SUM(F65-F66)</f>
        <v>306578</v>
      </c>
      <c r="G67" s="50">
        <f>SUM(G65-G66)</f>
        <v>2411685.9500000011</v>
      </c>
    </row>
    <row r="68" spans="1:8" ht="18.75" customHeight="1">
      <c r="A68" s="75" t="s">
        <v>43</v>
      </c>
      <c r="B68" s="76">
        <v>0</v>
      </c>
      <c r="C68" s="59">
        <f>SUM((C66/C65)*100)</f>
        <v>80.873961963588272</v>
      </c>
      <c r="D68" s="59">
        <f t="shared" ref="D68:G68" si="10">SUM((D66/D65)*100)</f>
        <v>84.891450637805335</v>
      </c>
      <c r="E68" s="59">
        <v>0</v>
      </c>
      <c r="F68" s="59">
        <f t="shared" si="10"/>
        <v>83.982248591815306</v>
      </c>
      <c r="G68" s="59">
        <f t="shared" si="10"/>
        <v>82.567931666934882</v>
      </c>
    </row>
    <row r="69" spans="1:8" ht="18.75" customHeight="1">
      <c r="A69" s="69" t="s">
        <v>32</v>
      </c>
      <c r="B69" s="70"/>
      <c r="C69" s="70"/>
      <c r="D69" s="70"/>
      <c r="E69" s="70"/>
      <c r="F69" s="70"/>
      <c r="G69" s="70"/>
    </row>
    <row r="70" spans="1:8" ht="18.75" customHeight="1">
      <c r="A70" s="71" t="s">
        <v>40</v>
      </c>
      <c r="B70" s="72">
        <v>0</v>
      </c>
      <c r="C70" s="50">
        <f>SUM(รายได้!D87:E87)</f>
        <v>1085300</v>
      </c>
      <c r="D70" s="50">
        <v>0</v>
      </c>
      <c r="E70" s="50">
        <v>0</v>
      </c>
      <c r="F70" s="50">
        <f>SUM(รายได้!I87)</f>
        <v>6000</v>
      </c>
      <c r="G70" s="72">
        <f>SUM(B70:F70)</f>
        <v>1091300</v>
      </c>
      <c r="H70" s="25">
        <f>รายได้!J131</f>
        <v>0</v>
      </c>
    </row>
    <row r="71" spans="1:8" ht="18.75" customHeight="1">
      <c r="A71" s="73" t="s">
        <v>41</v>
      </c>
      <c r="B71" s="74">
        <v>0</v>
      </c>
      <c r="C71" s="87">
        <f>SUM(รายได้!M87:N87)</f>
        <v>896163.35</v>
      </c>
      <c r="D71" s="87">
        <v>0</v>
      </c>
      <c r="E71" s="87">
        <v>0</v>
      </c>
      <c r="F71" s="87">
        <f>SUM(รายได้!R87)</f>
        <v>0</v>
      </c>
      <c r="G71" s="86">
        <f>SUM(B71:F71)</f>
        <v>896163.35</v>
      </c>
    </row>
    <row r="72" spans="1:8" ht="18.75" customHeight="1">
      <c r="A72" s="71" t="s">
        <v>42</v>
      </c>
      <c r="B72" s="72">
        <v>0</v>
      </c>
      <c r="C72" s="50">
        <f>SUM(C70-C71)</f>
        <v>189136.65000000002</v>
      </c>
      <c r="D72" s="50">
        <f>SUM(D70-D71)</f>
        <v>0</v>
      </c>
      <c r="E72" s="50">
        <f>SUM(E70-E71)</f>
        <v>0</v>
      </c>
      <c r="F72" s="50">
        <f>SUM(F70-F71)</f>
        <v>6000</v>
      </c>
      <c r="G72" s="50">
        <f>SUM(G70-G71)</f>
        <v>195136.65000000002</v>
      </c>
    </row>
    <row r="73" spans="1:8" ht="18.75" customHeight="1">
      <c r="A73" s="75" t="s">
        <v>43</v>
      </c>
      <c r="B73" s="76">
        <v>0</v>
      </c>
      <c r="C73" s="59">
        <f>SUM((C71/C70)*100)</f>
        <v>82.572869252741171</v>
      </c>
      <c r="D73" s="59">
        <v>0</v>
      </c>
      <c r="E73" s="59">
        <v>0</v>
      </c>
      <c r="F73" s="59">
        <f t="shared" ref="F73" si="11">SUM((F71/F70)*100)</f>
        <v>0</v>
      </c>
      <c r="G73" s="59">
        <f t="shared" ref="G73" si="12">SUM((G71/G70)*100)</f>
        <v>82.118881150920913</v>
      </c>
    </row>
    <row r="74" spans="1:8" ht="18.75" customHeight="1">
      <c r="A74" s="69" t="s">
        <v>33</v>
      </c>
      <c r="B74" s="70"/>
      <c r="C74" s="70"/>
      <c r="D74" s="70"/>
      <c r="E74" s="70"/>
      <c r="F74" s="70"/>
      <c r="G74" s="70"/>
    </row>
    <row r="75" spans="1:8" ht="18.75" customHeight="1">
      <c r="A75" s="71" t="s">
        <v>40</v>
      </c>
      <c r="B75" s="72">
        <v>0</v>
      </c>
      <c r="C75" s="50">
        <f>SUM(รายได้!D88:E88)</f>
        <v>1646000</v>
      </c>
      <c r="D75" s="50">
        <f>SUM(รายได้!F88:G88)</f>
        <v>0</v>
      </c>
      <c r="E75" s="50">
        <f>SUM(รายได้!H88)</f>
        <v>100000</v>
      </c>
      <c r="F75" s="50">
        <f>SUM(รายได้!I88)</f>
        <v>0</v>
      </c>
      <c r="G75" s="72">
        <f>SUM(B75:F75)</f>
        <v>1746000</v>
      </c>
      <c r="H75" s="25">
        <f>รายได้!J132</f>
        <v>0</v>
      </c>
    </row>
    <row r="76" spans="1:8" ht="18.75" customHeight="1">
      <c r="A76" s="73" t="s">
        <v>41</v>
      </c>
      <c r="B76" s="74">
        <v>0</v>
      </c>
      <c r="C76" s="87">
        <f>SUM(รายได้!M88:N88)</f>
        <v>696779.9</v>
      </c>
      <c r="D76" s="87">
        <f>SUM(รายได้!O88:P88)</f>
        <v>0</v>
      </c>
      <c r="E76" s="87">
        <f>SUM(รายได้!Q88)</f>
        <v>0</v>
      </c>
      <c r="F76" s="87">
        <f>SUM(รายได้!R88)</f>
        <v>0</v>
      </c>
      <c r="G76" s="86">
        <f>SUM(B76:F76)</f>
        <v>696779.9</v>
      </c>
    </row>
    <row r="77" spans="1:8" ht="18.75" customHeight="1">
      <c r="A77" s="71" t="s">
        <v>42</v>
      </c>
      <c r="B77" s="72">
        <v>0</v>
      </c>
      <c r="C77" s="50">
        <f>SUM(C75-C76)</f>
        <v>949220.1</v>
      </c>
      <c r="D77" s="50">
        <f>SUM(D75-D76)</f>
        <v>0</v>
      </c>
      <c r="E77" s="50">
        <f>SUM(E75-E76)</f>
        <v>100000</v>
      </c>
      <c r="F77" s="50">
        <f>SUM(F75-F76)</f>
        <v>0</v>
      </c>
      <c r="G77" s="50">
        <f>SUM(G75-G76)</f>
        <v>1049220.1000000001</v>
      </c>
    </row>
    <row r="78" spans="1:8" ht="18.75" customHeight="1">
      <c r="A78" s="75" t="s">
        <v>43</v>
      </c>
      <c r="B78" s="76">
        <v>0</v>
      </c>
      <c r="C78" s="59">
        <f>SUM((C76/C75)*100)</f>
        <v>42.33170716889429</v>
      </c>
      <c r="D78" s="59">
        <v>0</v>
      </c>
      <c r="E78" s="59">
        <f t="shared" ref="E78:G78" si="13">SUM((E76/E75)*100)</f>
        <v>0</v>
      </c>
      <c r="F78" s="59">
        <v>0</v>
      </c>
      <c r="G78" s="59">
        <f t="shared" si="13"/>
        <v>39.907210767468499</v>
      </c>
    </row>
    <row r="79" spans="1:8" ht="18.75" customHeight="1">
      <c r="A79" s="69" t="s">
        <v>34</v>
      </c>
      <c r="B79" s="70"/>
      <c r="C79" s="70"/>
      <c r="D79" s="70"/>
      <c r="E79" s="70"/>
      <c r="F79" s="70"/>
      <c r="G79" s="70"/>
    </row>
    <row r="80" spans="1:8" ht="18.75" customHeight="1">
      <c r="A80" s="71" t="s">
        <v>40</v>
      </c>
      <c r="B80" s="50">
        <f>SUM(รายได้!C134)</f>
        <v>0</v>
      </c>
      <c r="C80" s="50">
        <f>SUM(รายได้!D102:E102)</f>
        <v>10725057</v>
      </c>
      <c r="D80" s="50">
        <f>SUM(รายได้!F102:G102)</f>
        <v>26000</v>
      </c>
      <c r="E80" s="50">
        <f>SUM(รายได้!H102)</f>
        <v>414000</v>
      </c>
      <c r="F80" s="50">
        <v>0</v>
      </c>
      <c r="G80" s="72">
        <f>SUM(B80:F80)</f>
        <v>11165057</v>
      </c>
      <c r="H80" s="25">
        <f>รายได้!J148</f>
        <v>0</v>
      </c>
    </row>
    <row r="81" spans="1:7" ht="18.75" customHeight="1">
      <c r="A81" s="73" t="s">
        <v>41</v>
      </c>
      <c r="B81" s="87">
        <f>SUM(รายได้!L134)</f>
        <v>0</v>
      </c>
      <c r="C81" s="87">
        <f>SUM(รายได้!M102:N102)</f>
        <v>7158520.8399999999</v>
      </c>
      <c r="D81" s="87">
        <f>SUM(รายได้!O102:P102)</f>
        <v>23990</v>
      </c>
      <c r="E81" s="87">
        <f>SUM(รายได้!Q102)</f>
        <v>342966.2</v>
      </c>
      <c r="F81" s="87">
        <f>SUM(รายได้!R116)</f>
        <v>0</v>
      </c>
      <c r="G81" s="86">
        <f>SUM(B81:F81)</f>
        <v>7525477.04</v>
      </c>
    </row>
    <row r="82" spans="1:7" ht="18.75" customHeight="1">
      <c r="A82" s="71" t="s">
        <v>42</v>
      </c>
      <c r="B82" s="50">
        <f t="shared" ref="B82:G82" si="14">SUM(B80-B81)</f>
        <v>0</v>
      </c>
      <c r="C82" s="50">
        <f t="shared" si="14"/>
        <v>3566536.16</v>
      </c>
      <c r="D82" s="50">
        <f t="shared" si="14"/>
        <v>2010</v>
      </c>
      <c r="E82" s="50">
        <f t="shared" si="14"/>
        <v>71033.799999999988</v>
      </c>
      <c r="F82" s="50">
        <f t="shared" si="14"/>
        <v>0</v>
      </c>
      <c r="G82" s="50">
        <f t="shared" si="14"/>
        <v>3639579.96</v>
      </c>
    </row>
    <row r="83" spans="1:7" ht="18.75" customHeight="1">
      <c r="A83" s="75" t="s">
        <v>43</v>
      </c>
      <c r="B83" s="59">
        <v>0</v>
      </c>
      <c r="C83" s="59">
        <f>SUM((C81/C80)*100)</f>
        <v>66.745760325562841</v>
      </c>
      <c r="D83" s="59">
        <f t="shared" ref="D83:E83" si="15">SUM((D81/D80)*100)</f>
        <v>92.269230769230774</v>
      </c>
      <c r="E83" s="59">
        <f t="shared" si="15"/>
        <v>82.842077294685993</v>
      </c>
      <c r="F83" s="59">
        <v>0</v>
      </c>
      <c r="G83" s="59">
        <f t="shared" ref="G83" si="16">SUM((G81/G80)*100)</f>
        <v>67.402047656362157</v>
      </c>
    </row>
    <row r="84" spans="1:7" ht="18.75" customHeight="1">
      <c r="A84" s="69" t="s">
        <v>35</v>
      </c>
      <c r="B84" s="70"/>
      <c r="C84" s="70"/>
      <c r="D84" s="70"/>
      <c r="E84" s="70"/>
      <c r="F84" s="70"/>
      <c r="G84" s="70"/>
    </row>
    <row r="85" spans="1:7" ht="18.75" customHeight="1">
      <c r="A85" s="71" t="s">
        <v>40</v>
      </c>
      <c r="B85" s="72">
        <v>0</v>
      </c>
      <c r="C85" s="50">
        <f>SUM(รายได้!D92:E92)</f>
        <v>1112180</v>
      </c>
      <c r="D85" s="50">
        <f>SUM(รายได้!F92:G92)</f>
        <v>0</v>
      </c>
      <c r="E85" s="50">
        <f>SUM(รายได้!H92)</f>
        <v>104000</v>
      </c>
      <c r="F85" s="50">
        <f>SUM(รายได้!I92)</f>
        <v>319520</v>
      </c>
      <c r="G85" s="72">
        <f>SUM(B85:F85)</f>
        <v>1535700</v>
      </c>
    </row>
    <row r="86" spans="1:7" ht="18.75" customHeight="1">
      <c r="A86" s="73" t="s">
        <v>41</v>
      </c>
      <c r="B86" s="74">
        <v>0</v>
      </c>
      <c r="C86" s="87">
        <f>SUM(รายได้!M92:N92)</f>
        <v>1042857.14</v>
      </c>
      <c r="D86" s="87">
        <f>SUM(รายได้!O92:P92)</f>
        <v>0</v>
      </c>
      <c r="E86" s="87">
        <f>SUM(รายได้!Q92)</f>
        <v>102000</v>
      </c>
      <c r="F86" s="87">
        <f>SUM(รายได้!R92)</f>
        <v>315500</v>
      </c>
      <c r="G86" s="72">
        <f>SUM(B86:F86)</f>
        <v>1460357.1400000001</v>
      </c>
    </row>
    <row r="87" spans="1:7" ht="18.75" customHeight="1">
      <c r="A87" s="71" t="s">
        <v>42</v>
      </c>
      <c r="B87" s="72">
        <v>0</v>
      </c>
      <c r="C87" s="50">
        <f>SUM(C85-C86)</f>
        <v>69322.859999999986</v>
      </c>
      <c r="D87" s="50">
        <f>SUM(D85-D86)</f>
        <v>0</v>
      </c>
      <c r="E87" s="50">
        <f>SUM(E85-E86)</f>
        <v>2000</v>
      </c>
      <c r="F87" s="50">
        <f>SUM(F85-F86)</f>
        <v>4020</v>
      </c>
      <c r="G87" s="50">
        <f>SUM(G85-G86)</f>
        <v>75342.85999999987</v>
      </c>
    </row>
    <row r="88" spans="1:7" ht="18.75" customHeight="1">
      <c r="A88" s="75" t="s">
        <v>43</v>
      </c>
      <c r="B88" s="76">
        <v>0</v>
      </c>
      <c r="C88" s="59">
        <f>SUM((C86/C85)*100)</f>
        <v>93.76693880486971</v>
      </c>
      <c r="D88" s="59">
        <v>0</v>
      </c>
      <c r="E88" s="59">
        <f t="shared" ref="E88:F88" si="17">SUM((E86/E85)*100)</f>
        <v>98.076923076923066</v>
      </c>
      <c r="F88" s="59">
        <f t="shared" si="17"/>
        <v>98.741862794191277</v>
      </c>
      <c r="G88" s="59">
        <f>SUM((G86/G85)*100)</f>
        <v>95.093907664257344</v>
      </c>
    </row>
    <row r="89" spans="1:7" ht="18.75" customHeight="1">
      <c r="A89" s="69" t="s">
        <v>88</v>
      </c>
      <c r="B89" s="70"/>
      <c r="C89" s="70"/>
      <c r="D89" s="70"/>
      <c r="E89" s="70"/>
      <c r="F89" s="70"/>
      <c r="G89" s="70"/>
    </row>
    <row r="90" spans="1:7" ht="18.75" customHeight="1">
      <c r="A90" s="71" t="s">
        <v>40</v>
      </c>
      <c r="B90" s="72">
        <f>SUM(รายได้!B123:C123)</f>
        <v>0</v>
      </c>
      <c r="C90" s="50">
        <f>SUM(รายได้!D109:E109)</f>
        <v>27712663.510000002</v>
      </c>
      <c r="D90" s="50">
        <f>SUM(รายได้!F109:G109)</f>
        <v>212820</v>
      </c>
      <c r="E90" s="50">
        <f>SUM(รายได้!H109)</f>
        <v>32496100</v>
      </c>
      <c r="F90" s="50">
        <f>SUM(รายได้!I109)</f>
        <v>4625803.46</v>
      </c>
      <c r="G90" s="72">
        <f>SUM(B90:F90)</f>
        <v>65047386.970000006</v>
      </c>
    </row>
    <row r="91" spans="1:7" ht="18.75" customHeight="1">
      <c r="A91" s="73" t="s">
        <v>41</v>
      </c>
      <c r="B91" s="74">
        <v>0</v>
      </c>
      <c r="C91" s="87">
        <f>SUM(รายได้!M109:N109)</f>
        <v>25904137.93</v>
      </c>
      <c r="D91" s="87">
        <f>SUM(รายได้!O109:P109)</f>
        <v>204935</v>
      </c>
      <c r="E91" s="87">
        <f>SUM(รายได้!Q109)</f>
        <v>22359223.190000001</v>
      </c>
      <c r="F91" s="87">
        <f>SUM(รายได้!R109)</f>
        <v>2886069.5</v>
      </c>
      <c r="G91" s="72">
        <f>SUM(B91:F91)</f>
        <v>51354365.620000005</v>
      </c>
    </row>
    <row r="92" spans="1:7" ht="18.75" customHeight="1">
      <c r="A92" s="71" t="s">
        <v>42</v>
      </c>
      <c r="B92" s="72">
        <v>0</v>
      </c>
      <c r="C92" s="50">
        <f>SUM(C90-C91)</f>
        <v>1808525.5800000019</v>
      </c>
      <c r="D92" s="50">
        <f>SUM(D90-D91)</f>
        <v>7885</v>
      </c>
      <c r="E92" s="50">
        <f>SUM(E90-E91)</f>
        <v>10136876.809999999</v>
      </c>
      <c r="F92" s="50">
        <f>SUM(F90-F91)</f>
        <v>1739733.96</v>
      </c>
      <c r="G92" s="50">
        <f>SUM(G90-G91)</f>
        <v>13693021.350000001</v>
      </c>
    </row>
    <row r="93" spans="1:7" ht="18.75" customHeight="1">
      <c r="A93" s="75" t="s">
        <v>43</v>
      </c>
      <c r="B93" s="76">
        <v>0</v>
      </c>
      <c r="C93" s="59">
        <f>SUM((C91/C90)*100)</f>
        <v>93.474010250413485</v>
      </c>
      <c r="D93" s="59">
        <f t="shared" ref="D93" si="18">SUM((D91/D90)*100)</f>
        <v>96.294991072267649</v>
      </c>
      <c r="E93" s="59">
        <f t="shared" ref="E93:G93" si="19">SUM((E91/E90)*100)</f>
        <v>68.805866519366944</v>
      </c>
      <c r="F93" s="59">
        <f t="shared" si="19"/>
        <v>62.390664129080832</v>
      </c>
      <c r="G93" s="59">
        <f t="shared" si="19"/>
        <v>78.949160008048821</v>
      </c>
    </row>
    <row r="94" spans="1:7" ht="18.75" customHeight="1">
      <c r="A94" s="69" t="s">
        <v>89</v>
      </c>
      <c r="B94" s="70"/>
      <c r="C94" s="70"/>
      <c r="D94" s="70"/>
      <c r="E94" s="70"/>
      <c r="F94" s="70"/>
      <c r="G94" s="70"/>
    </row>
    <row r="95" spans="1:7" ht="18.75" customHeight="1">
      <c r="A95" s="71" t="s">
        <v>40</v>
      </c>
      <c r="B95" s="72">
        <v>0</v>
      </c>
      <c r="C95" s="50">
        <f>SUM(รายได้!D110:E110)</f>
        <v>200000</v>
      </c>
      <c r="D95" s="50">
        <f>SUM(รายได้!F110:G110)</f>
        <v>0</v>
      </c>
      <c r="E95" s="50">
        <f>SUM(รายได้!H110)</f>
        <v>0</v>
      </c>
      <c r="F95" s="50">
        <f>SUM(รายได้!I110)</f>
        <v>0</v>
      </c>
      <c r="G95" s="72">
        <f>SUM(B95:F95)</f>
        <v>200000</v>
      </c>
    </row>
    <row r="96" spans="1:7" ht="18.75" customHeight="1">
      <c r="A96" s="73" t="s">
        <v>41</v>
      </c>
      <c r="B96" s="74">
        <v>0</v>
      </c>
      <c r="C96" s="87">
        <f>SUM(รายได้!M110:N110)</f>
        <v>169433</v>
      </c>
      <c r="D96" s="87">
        <f>SUM(รายได้!O110:P110)</f>
        <v>0</v>
      </c>
      <c r="E96" s="87">
        <f>SUM(รายได้!Q110)</f>
        <v>0</v>
      </c>
      <c r="F96" s="87">
        <f>SUM(รายได้!R110)</f>
        <v>0</v>
      </c>
      <c r="G96" s="86">
        <f>SUM(B96:F96)</f>
        <v>169433</v>
      </c>
    </row>
    <row r="97" spans="1:8" ht="18.75" customHeight="1">
      <c r="A97" s="71" t="s">
        <v>42</v>
      </c>
      <c r="B97" s="72">
        <v>0</v>
      </c>
      <c r="C97" s="50">
        <f>SUM(C95-C96)</f>
        <v>30567</v>
      </c>
      <c r="D97" s="72">
        <v>0</v>
      </c>
      <c r="E97" s="72">
        <v>0</v>
      </c>
      <c r="F97" s="50">
        <f>SUM(F95-F96)</f>
        <v>0</v>
      </c>
      <c r="G97" s="50">
        <f>SUM(G95-G96)</f>
        <v>30567</v>
      </c>
    </row>
    <row r="98" spans="1:8" ht="18.75" customHeight="1">
      <c r="A98" s="75" t="s">
        <v>43</v>
      </c>
      <c r="B98" s="76">
        <v>0</v>
      </c>
      <c r="C98" s="59">
        <f>SUM((C96/C95)*100)</f>
        <v>84.716499999999996</v>
      </c>
      <c r="D98" s="76">
        <v>0</v>
      </c>
      <c r="E98" s="76">
        <v>0</v>
      </c>
      <c r="F98" s="59">
        <v>0</v>
      </c>
      <c r="G98" s="59">
        <f>SUM((G96/G95)*100)</f>
        <v>84.716499999999996</v>
      </c>
    </row>
    <row r="99" spans="1:8" ht="18.75" customHeight="1">
      <c r="A99" s="140" t="s">
        <v>274</v>
      </c>
      <c r="B99" s="56"/>
      <c r="C99" s="56"/>
      <c r="D99" s="56"/>
      <c r="E99" s="56"/>
      <c r="F99" s="56"/>
      <c r="G99" s="56"/>
      <c r="H99" s="90"/>
    </row>
    <row r="100" spans="1:8" ht="18.75" customHeight="1">
      <c r="A100" s="51" t="s">
        <v>40</v>
      </c>
      <c r="B100" s="19">
        <f>SUM(รายได้!B111:C111)</f>
        <v>0</v>
      </c>
      <c r="C100" s="50">
        <f>SUM(รายได้!D111:E111)</f>
        <v>3000700</v>
      </c>
      <c r="D100" s="50">
        <f>SUM(รายได้!F111:G111)</f>
        <v>0</v>
      </c>
      <c r="E100" s="50">
        <f>SUM(รายได้!H111)</f>
        <v>0</v>
      </c>
      <c r="F100" s="50">
        <f>SUM(รายได้!I111)</f>
        <v>0</v>
      </c>
      <c r="G100" s="50">
        <f>SUM(B100:F100)</f>
        <v>3000700</v>
      </c>
      <c r="H100" s="90"/>
    </row>
    <row r="101" spans="1:8" ht="18.75" customHeight="1">
      <c r="A101" s="57" t="s">
        <v>41</v>
      </c>
      <c r="B101" s="88">
        <v>0</v>
      </c>
      <c r="C101" s="87">
        <f>SUM(รายได้!M111:N111)</f>
        <v>1220036</v>
      </c>
      <c r="D101" s="87">
        <f>SUM(รายได้!O111:P111)</f>
        <v>0</v>
      </c>
      <c r="E101" s="87">
        <f>SUM(รายได้!Q111)</f>
        <v>0</v>
      </c>
      <c r="F101" s="87">
        <f>SUM(รายได้!R111)</f>
        <v>0</v>
      </c>
      <c r="G101" s="87">
        <f>SUM(B101:F101)</f>
        <v>1220036</v>
      </c>
    </row>
    <row r="102" spans="1:8" ht="18.75" customHeight="1">
      <c r="A102" s="51" t="s">
        <v>42</v>
      </c>
      <c r="B102" s="50">
        <v>0</v>
      </c>
      <c r="C102" s="50">
        <f>SUM(C100-C101)</f>
        <v>1780664</v>
      </c>
      <c r="D102" s="50">
        <v>0</v>
      </c>
      <c r="E102" s="50">
        <v>0</v>
      </c>
      <c r="F102" s="50">
        <v>0</v>
      </c>
      <c r="G102" s="50">
        <f>SUM(G100-G101)</f>
        <v>1780664</v>
      </c>
    </row>
    <row r="103" spans="1:8" ht="18.75" customHeight="1">
      <c r="A103" s="58" t="s">
        <v>43</v>
      </c>
      <c r="B103" s="59">
        <v>0</v>
      </c>
      <c r="C103" s="59">
        <f>SUM((C101/C100)*100)</f>
        <v>40.65837971140067</v>
      </c>
      <c r="D103" s="59">
        <v>0</v>
      </c>
      <c r="E103" s="59">
        <v>0</v>
      </c>
      <c r="F103" s="59">
        <v>0</v>
      </c>
      <c r="G103" s="59">
        <f t="shared" ref="G103" si="20">SUM((G101/G100)*100)</f>
        <v>40.65837971140067</v>
      </c>
    </row>
    <row r="104" spans="1:8" ht="18.75" customHeight="1">
      <c r="A104" s="78" t="s">
        <v>60</v>
      </c>
      <c r="B104" s="79">
        <f>SUM(B5,B10,B15,B20,B25,B30,B35,B40,B45,B50,B55,B60,B65,B70,B75,B80,B85,B90,B95)</f>
        <v>0</v>
      </c>
      <c r="C104" s="212">
        <f t="shared" ref="C104:F105" si="21">SUM(C5,C10,C15,C20,C25,C30,C35,C40,C45,C50,C55,C60,C65,C70,C75,C80,C85,C90,C95,C100)</f>
        <v>63649555.210000001</v>
      </c>
      <c r="D104" s="213">
        <f t="shared" si="21"/>
        <v>4915432</v>
      </c>
      <c r="E104" s="212">
        <f t="shared" si="21"/>
        <v>34944100</v>
      </c>
      <c r="F104" s="212">
        <f t="shared" si="21"/>
        <v>7658019.79</v>
      </c>
      <c r="G104" s="79">
        <f>SUM(G5,G10,G15,G20,G25,G30,G40,G35,G45,G55,G50,G60,G65,G70,G75,G80,G85,G90,G95,G100)</f>
        <v>111167107</v>
      </c>
      <c r="H104" s="25">
        <f>SUM(B104:F104)</f>
        <v>111167107.00000001</v>
      </c>
    </row>
    <row r="105" spans="1:8" ht="18.75" customHeight="1">
      <c r="A105" s="78" t="s">
        <v>61</v>
      </c>
      <c r="B105" s="79">
        <f>SUM(B6,B11,B16,B21,B26,B31,B36,B41,B46,B51,B56,B61,B66,B71,B76,B81,B86,B91,B96)</f>
        <v>0</v>
      </c>
      <c r="C105" s="79">
        <f t="shared" si="21"/>
        <v>52579652.619999997</v>
      </c>
      <c r="D105" s="79">
        <f t="shared" si="21"/>
        <v>4238825</v>
      </c>
      <c r="E105" s="79">
        <f>SUM(E6,E11,E16,E21,E26,E31,E36,E41,E46,E51,E56,E61,E66,E71,E76,E81,E86,E91,E96,E101)</f>
        <v>24400901.390000001</v>
      </c>
      <c r="F105" s="79">
        <f t="shared" si="21"/>
        <v>5533323.0300000003</v>
      </c>
      <c r="G105" s="79">
        <f>SUM(G6,G11,G16,G21,G26,G31,G36,G41,G46,G51,G56,G61,G66,G71,G76,G81,G86,G91,G96,G101)</f>
        <v>86752702.040000007</v>
      </c>
      <c r="H105" s="25">
        <f>SUM(B105:F105)</f>
        <v>86752702.039999992</v>
      </c>
    </row>
    <row r="106" spans="1:8" ht="18.75" customHeight="1">
      <c r="A106" s="78" t="s">
        <v>62</v>
      </c>
      <c r="B106" s="54">
        <f t="shared" ref="B106:G106" si="22">SUM(B104-B105)</f>
        <v>0</v>
      </c>
      <c r="C106" s="54">
        <f t="shared" si="22"/>
        <v>11069902.590000004</v>
      </c>
      <c r="D106" s="54">
        <f t="shared" si="22"/>
        <v>676607</v>
      </c>
      <c r="E106" s="54">
        <f t="shared" si="22"/>
        <v>10543198.609999999</v>
      </c>
      <c r="F106" s="54">
        <f t="shared" si="22"/>
        <v>2124696.7599999998</v>
      </c>
      <c r="G106" s="54">
        <f t="shared" si="22"/>
        <v>24414404.959999993</v>
      </c>
      <c r="H106" s="25">
        <f>SUM(B106:F106)</f>
        <v>24414404.960000001</v>
      </c>
    </row>
    <row r="107" spans="1:8" ht="18.75" customHeight="1">
      <c r="A107" s="78" t="s">
        <v>63</v>
      </c>
      <c r="B107" s="54">
        <v>0</v>
      </c>
      <c r="C107" s="54">
        <f>SUM((C105/C104)*100)</f>
        <v>82.608044072771776</v>
      </c>
      <c r="D107" s="54">
        <f>SUM((D105/D104)*100)</f>
        <v>86.235045058094585</v>
      </c>
      <c r="E107" s="54">
        <f>SUM((E105/E104)*100)</f>
        <v>69.828387023846659</v>
      </c>
      <c r="F107" s="54">
        <f>SUM((F105/F104)*100)</f>
        <v>72.255272012035377</v>
      </c>
      <c r="G107" s="54">
        <f>SUM((G105/G104)*100)</f>
        <v>78.038103519236145</v>
      </c>
    </row>
    <row r="109" spans="1:8" ht="18.75" customHeight="1">
      <c r="H109" s="90">
        <v>101359400</v>
      </c>
    </row>
    <row r="112" spans="1:8" ht="18.75" customHeight="1">
      <c r="A112" s="19" t="str">
        <f>A4</f>
        <v>1.คณะครุศาสตร์</v>
      </c>
      <c r="B112" s="19">
        <f>G8</f>
        <v>91.933518254881193</v>
      </c>
    </row>
    <row r="113" spans="1:2" ht="18.75" customHeight="1">
      <c r="A113" s="19" t="str">
        <f>A9</f>
        <v>2.คณะวิทยาศาสตร์</v>
      </c>
      <c r="B113" s="19">
        <f>G13</f>
        <v>92.762338562884636</v>
      </c>
    </row>
    <row r="114" spans="1:2" ht="18.75" customHeight="1">
      <c r="A114" s="19" t="s">
        <v>332</v>
      </c>
      <c r="B114" s="19">
        <f>G18</f>
        <v>91.023578038410108</v>
      </c>
    </row>
    <row r="115" spans="1:2" ht="18.75" customHeight="1">
      <c r="A115" s="19" t="str">
        <f>A19</f>
        <v>4.คณะวิทยาการจัดการ</v>
      </c>
      <c r="B115" s="19">
        <f>G23</f>
        <v>97.517757234836481</v>
      </c>
    </row>
    <row r="116" spans="1:2" ht="18.75" customHeight="1">
      <c r="A116" s="19" t="str">
        <f>A24</f>
        <v>5.คณะเทคโนโลยีอุตสาหกรรม</v>
      </c>
      <c r="B116" s="19">
        <f>G28</f>
        <v>87.91075676922955</v>
      </c>
    </row>
    <row r="117" spans="1:2" ht="18.75" customHeight="1">
      <c r="A117" s="19" t="str">
        <f>A29</f>
        <v>6.คณะเทคโนโลยีการเกษตร</v>
      </c>
      <c r="B117" s="19">
        <f>G33</f>
        <v>96.552695434646665</v>
      </c>
    </row>
    <row r="118" spans="1:2" ht="18.75" customHeight="1">
      <c r="A118" s="19" t="s">
        <v>330</v>
      </c>
      <c r="B118" s="19">
        <f>G38</f>
        <v>92.872059230769239</v>
      </c>
    </row>
    <row r="119" spans="1:2" ht="18.75" customHeight="1">
      <c r="A119" s="19" t="s">
        <v>26</v>
      </c>
      <c r="B119" s="19">
        <f>G43</f>
        <v>90.448739286381809</v>
      </c>
    </row>
    <row r="120" spans="1:2" ht="18.75" customHeight="1">
      <c r="A120" s="19" t="str">
        <f>A44</f>
        <v>9.สำนักศิลปะและวัฒนธรรม</v>
      </c>
      <c r="B120" s="19">
        <f>G48</f>
        <v>97.267848101265812</v>
      </c>
    </row>
    <row r="121" spans="1:2" ht="18.75" customHeight="1">
      <c r="A121" s="19" t="str">
        <f>A49</f>
        <v>10.หน่วยตรวจสอบภายใน</v>
      </c>
      <c r="B121" s="19">
        <f>G53</f>
        <v>62.56848484848485</v>
      </c>
    </row>
    <row r="122" spans="1:2" ht="18.75" customHeight="1">
      <c r="A122" s="19" t="str">
        <f>A54</f>
        <v>11.สำนักสภาคณาจารย์และข้าราชการ</v>
      </c>
      <c r="B122" s="19">
        <f>G58</f>
        <v>42.712550607287447</v>
      </c>
    </row>
    <row r="123" spans="1:2" ht="18.75" customHeight="1">
      <c r="A123" s="19" t="str">
        <f>A59</f>
        <v>12.โครงการจัดตั้งสถาบันภาษา</v>
      </c>
      <c r="B123" s="19">
        <f>G63</f>
        <v>76.344280845625448</v>
      </c>
    </row>
    <row r="124" spans="1:2" ht="18.75" customHeight="1">
      <c r="A124" s="19" t="str">
        <f>A64</f>
        <v>13.กองกลาง</v>
      </c>
      <c r="B124" s="19">
        <f>G68</f>
        <v>82.567931666934882</v>
      </c>
    </row>
    <row r="125" spans="1:2" ht="18.75" customHeight="1">
      <c r="A125" s="19" t="str">
        <f>A69</f>
        <v>14.กองนโยบายและแผน</v>
      </c>
      <c r="B125" s="19">
        <f>G73</f>
        <v>82.118881150920913</v>
      </c>
    </row>
    <row r="126" spans="1:2" ht="18.75" customHeight="1">
      <c r="A126" s="19" t="str">
        <f>A74</f>
        <v>15.กองบริการการศึกษา</v>
      </c>
      <c r="B126" s="19">
        <f>G78</f>
        <v>39.907210767468499</v>
      </c>
    </row>
    <row r="127" spans="1:2" ht="18.75" customHeight="1">
      <c r="A127" s="19" t="str">
        <f>A79</f>
        <v>16.สำนักงานประสานงานบัณฑิตศึกษา</v>
      </c>
      <c r="B127" s="19">
        <f>G83</f>
        <v>67.402047656362157</v>
      </c>
    </row>
    <row r="128" spans="1:2" ht="18.75" customHeight="1">
      <c r="A128" s="19" t="str">
        <f>A84</f>
        <v>17.กองพัฒนานักศึกษา</v>
      </c>
      <c r="B128" s="19">
        <f>G88</f>
        <v>95.093907664257344</v>
      </c>
    </row>
    <row r="129" spans="1:2" ht="18.75" customHeight="1">
      <c r="A129" s="19" t="str">
        <f>A89</f>
        <v>18.งบกลางมหาวิทยาลัยราชภัฏลำปาง</v>
      </c>
      <c r="B129" s="19">
        <f>G93</f>
        <v>78.949160008048821</v>
      </c>
    </row>
    <row r="130" spans="1:2" ht="18.75" customHeight="1">
      <c r="A130" s="19" t="str">
        <f>A94</f>
        <v>19.ศูนย์อบรมและการศึกษาต่อเนื่อง</v>
      </c>
      <c r="B130" s="19">
        <f>G98</f>
        <v>84.716499999999996</v>
      </c>
    </row>
    <row r="131" spans="1:2" ht="18.75" customHeight="1">
      <c r="A131" s="19" t="s">
        <v>331</v>
      </c>
      <c r="B131" s="19">
        <f>G103</f>
        <v>40.65837971140067</v>
      </c>
    </row>
  </sheetData>
  <mergeCells count="2">
    <mergeCell ref="A2:A3"/>
    <mergeCell ref="B2:G2"/>
  </mergeCells>
  <pageMargins left="0.9055118110236221" right="0.39370078740157483" top="0.55118110236220474" bottom="0.31496062992125984" header="0.39370078740157483" footer="0.19685039370078741"/>
  <pageSetup paperSize="9" firstPageNumber="21" orientation="landscape" useFirstPageNumber="1" r:id="rId1"/>
  <headerFooter>
    <oddHeader>&amp;R&amp;P</oddHeader>
  </headerFooter>
  <rowBreaks count="1" manualBreakCount="1">
    <brk id="103"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M13"/>
  <sheetViews>
    <sheetView view="pageBreakPreview" zoomScale="90" zoomScaleNormal="100" zoomScaleSheetLayoutView="90" workbookViewId="0">
      <selection activeCell="F12" sqref="F12"/>
    </sheetView>
  </sheetViews>
  <sheetFormatPr defaultRowHeight="18.75"/>
  <cols>
    <col min="1" max="1" width="30.75" style="61" customWidth="1"/>
    <col min="2" max="2" width="13.75" style="61" bestFit="1" customWidth="1"/>
    <col min="3" max="3" width="13.25" style="61" customWidth="1"/>
    <col min="4" max="4" width="12.125" style="61" customWidth="1"/>
    <col min="5" max="5" width="5.625" style="62" bestFit="1" customWidth="1"/>
    <col min="6" max="6" width="12.125" style="61" customWidth="1"/>
    <col min="7" max="7" width="7" style="62" bestFit="1" customWidth="1"/>
    <col min="8" max="8" width="12.125" style="61" customWidth="1"/>
    <col min="9" max="9" width="5.625" style="62" customWidth="1"/>
    <col min="10" max="10" width="12.125" style="61" customWidth="1"/>
    <col min="11" max="11" width="5.625" style="62" bestFit="1" customWidth="1"/>
    <col min="12" max="12" width="9" style="61"/>
    <col min="13" max="13" width="10.375" style="61" bestFit="1" customWidth="1"/>
    <col min="14" max="16384" width="9" style="61"/>
  </cols>
  <sheetData>
    <row r="1" spans="1:13">
      <c r="A1" s="63" t="s">
        <v>98</v>
      </c>
    </row>
    <row r="2" spans="1:13">
      <c r="A2" s="519" t="s">
        <v>65</v>
      </c>
      <c r="B2" s="519" t="s">
        <v>2</v>
      </c>
      <c r="C2" s="520" t="s">
        <v>67</v>
      </c>
      <c r="D2" s="519" t="s">
        <v>3</v>
      </c>
      <c r="E2" s="519"/>
      <c r="F2" s="519"/>
      <c r="G2" s="519"/>
      <c r="H2" s="519"/>
      <c r="I2" s="519"/>
      <c r="J2" s="519"/>
      <c r="K2" s="519"/>
    </row>
    <row r="3" spans="1:13">
      <c r="A3" s="519"/>
      <c r="B3" s="519"/>
      <c r="C3" s="521"/>
      <c r="D3" s="80" t="s">
        <v>6</v>
      </c>
      <c r="E3" s="81" t="s">
        <v>5</v>
      </c>
      <c r="F3" s="80" t="s">
        <v>7</v>
      </c>
      <c r="G3" s="81" t="s">
        <v>5</v>
      </c>
      <c r="H3" s="80" t="s">
        <v>8</v>
      </c>
      <c r="I3" s="81" t="s">
        <v>5</v>
      </c>
      <c r="J3" s="80" t="s">
        <v>9</v>
      </c>
      <c r="K3" s="81" t="s">
        <v>5</v>
      </c>
    </row>
    <row r="4" spans="1:13" ht="37.5">
      <c r="A4" s="67" t="s">
        <v>92</v>
      </c>
      <c r="B4" s="272">
        <v>310798300</v>
      </c>
      <c r="C4" s="46">
        <f>SUM(ประเด็นแผ่นดิน!J8+ประเด็นรายได้!J8)</f>
        <v>345567280.92000002</v>
      </c>
      <c r="D4" s="46">
        <v>81867851.439999998</v>
      </c>
      <c r="E4" s="48">
        <f>SUM(D4/C4*100)</f>
        <v>23.690857312082354</v>
      </c>
      <c r="F4" s="46">
        <f>SUM([1]ประเด็นแผ่นดิน!S8,[1]ประเด็นรายได้!S8)</f>
        <v>161900667.94999999</v>
      </c>
      <c r="G4" s="48">
        <f>SUM(F4/C4*100)</f>
        <v>46.850693595462396</v>
      </c>
      <c r="H4" s="202">
        <v>241021462.75999999</v>
      </c>
      <c r="I4" s="402">
        <v>78.38</v>
      </c>
      <c r="J4" s="46">
        <f>SUM(ประเด็นแผ่นดิน!S8+ประเด็นรายได้!S8)</f>
        <v>326402666.87</v>
      </c>
      <c r="K4" s="48">
        <f t="shared" ref="K4:K9" si="0">SUM(J4/C4*100)</f>
        <v>94.454158391680409</v>
      </c>
    </row>
    <row r="5" spans="1:13" ht="37.5">
      <c r="A5" s="67" t="s">
        <v>93</v>
      </c>
      <c r="B5" s="272">
        <v>9796400</v>
      </c>
      <c r="C5" s="46">
        <f>SUM(ประเด็นแผ่นดิน!J9+ประเด็นรายได้!J9)</f>
        <v>9796400</v>
      </c>
      <c r="D5" s="46">
        <v>4331690</v>
      </c>
      <c r="E5" s="48">
        <f t="shared" ref="E5:E10" si="1">SUM(D5/C5*100)</f>
        <v>44.217161406230858</v>
      </c>
      <c r="F5" s="46">
        <f>SUM([1]ประเด็นแผ่นดิน!S9,[1]ประเด็นรายได้!S9)</f>
        <v>5699650</v>
      </c>
      <c r="G5" s="48">
        <f t="shared" ref="G5:G10" si="2">SUM(F5/C5*100)</f>
        <v>58.18106651422972</v>
      </c>
      <c r="H5" s="202">
        <v>8174635</v>
      </c>
      <c r="I5" s="402">
        <v>83.45</v>
      </c>
      <c r="J5" s="46">
        <f>SUM(ประเด็นแผ่นดิน!S9+ประเด็นรายได้!S9)</f>
        <v>9584621</v>
      </c>
      <c r="K5" s="48">
        <f t="shared" si="0"/>
        <v>97.838195663713208</v>
      </c>
    </row>
    <row r="6" spans="1:13" ht="37.5">
      <c r="A6" s="67" t="s">
        <v>94</v>
      </c>
      <c r="B6" s="230">
        <v>35935800</v>
      </c>
      <c r="C6" s="46">
        <f>SUM(ประเด็นแผ่นดิน!J13+ประเด็นรายได้!J12)</f>
        <v>44572226.420000002</v>
      </c>
      <c r="D6" s="46">
        <v>2306607.15</v>
      </c>
      <c r="E6" s="48">
        <f t="shared" si="1"/>
        <v>5.1749875096322366</v>
      </c>
      <c r="F6" s="46">
        <f>SUM([1]ประเด็นแผ่นดิน!S13,[1]ประเด็นรายได้!S12)</f>
        <v>7766303.6699999999</v>
      </c>
      <c r="G6" s="48">
        <f t="shared" si="2"/>
        <v>17.424087360633127</v>
      </c>
      <c r="H6" s="202">
        <v>20022279.870000001</v>
      </c>
      <c r="I6" s="402">
        <v>52.73</v>
      </c>
      <c r="J6" s="46">
        <f>SUM(ประเด็นแผ่นดิน!S13+ประเด็นรายได้!S12)</f>
        <v>36151651.939999998</v>
      </c>
      <c r="K6" s="48">
        <f t="shared" si="0"/>
        <v>81.108023636392531</v>
      </c>
    </row>
    <row r="7" spans="1:13" ht="37.5">
      <c r="A7" s="67" t="s">
        <v>95</v>
      </c>
      <c r="B7" s="230">
        <v>2610000</v>
      </c>
      <c r="C7" s="46">
        <f>SUM(ประเด็นแผ่นดิน!J14+ประเด็นรายได้!J13)</f>
        <v>3002576</v>
      </c>
      <c r="D7" s="46">
        <v>681190</v>
      </c>
      <c r="E7" s="48">
        <f t="shared" si="1"/>
        <v>22.686852888985989</v>
      </c>
      <c r="F7" s="46">
        <f>SUM([1]ประเด็นแผ่นดิน!S14,[1]ประเด็นรายได้!S13)</f>
        <v>989977</v>
      </c>
      <c r="G7" s="48">
        <f t="shared" si="2"/>
        <v>32.970922301383879</v>
      </c>
      <c r="H7" s="202">
        <v>1763305</v>
      </c>
      <c r="I7" s="402">
        <v>66.819999999999993</v>
      </c>
      <c r="J7" s="46">
        <f>SUM(ประเด็นแผ่นดิน!S14+ประเด็นรายได้!S13)</f>
        <v>2866025.3</v>
      </c>
      <c r="K7" s="48">
        <f t="shared" si="0"/>
        <v>95.452215031359728</v>
      </c>
    </row>
    <row r="8" spans="1:13" ht="37.5">
      <c r="A8" s="67" t="s">
        <v>96</v>
      </c>
      <c r="B8" s="230">
        <v>187971600</v>
      </c>
      <c r="C8" s="46">
        <f>SUM(ประเด็นแผ่นดิน!J18+ประเด็นรายได้!J17)</f>
        <v>191318530.30000001</v>
      </c>
      <c r="D8" s="46">
        <f>21125814.4-14000</f>
        <v>21111814.399999999</v>
      </c>
      <c r="E8" s="48">
        <f t="shared" si="1"/>
        <v>11.034903083823238</v>
      </c>
      <c r="F8" s="46">
        <f>SUM([1]ประเด็นแผ่นดิน!S18,[1]ประเด็นรายได้!S17)</f>
        <v>61802220.990000002</v>
      </c>
      <c r="G8" s="48">
        <f>SUM(F8/C8*100)</f>
        <v>32.303311599294673</v>
      </c>
      <c r="H8" s="202">
        <v>126107821.89</v>
      </c>
      <c r="I8" s="402">
        <v>63.62</v>
      </c>
      <c r="J8" s="46">
        <f>SUM(ประเด็นแผ่นดิน!S18,ประเด็นรายได้!S17)</f>
        <v>160989463.50999999</v>
      </c>
      <c r="K8" s="48">
        <f t="shared" si="0"/>
        <v>84.147344879535694</v>
      </c>
    </row>
    <row r="9" spans="1:13" ht="37.5">
      <c r="A9" s="310" t="s">
        <v>97</v>
      </c>
      <c r="B9" s="311">
        <v>5719640</v>
      </c>
      <c r="C9" s="312">
        <f>SUM(ประเด็นรายได้!J18)</f>
        <v>4343364</v>
      </c>
      <c r="D9" s="312">
        <v>253512</v>
      </c>
      <c r="E9" s="48">
        <f t="shared" si="1"/>
        <v>5.8367661563709605</v>
      </c>
      <c r="F9" s="46">
        <f>SUM([1]ประเด็นรายได้!S18)</f>
        <v>610270</v>
      </c>
      <c r="G9" s="48">
        <f t="shared" si="2"/>
        <v>14.050629880433691</v>
      </c>
      <c r="H9" s="202">
        <v>1281001</v>
      </c>
      <c r="I9" s="402">
        <v>28.24</v>
      </c>
      <c r="J9" s="312">
        <f>SUM(ประเด็นรายได้!S18)</f>
        <v>3024080</v>
      </c>
      <c r="K9" s="313">
        <f t="shared" si="0"/>
        <v>69.625295047801657</v>
      </c>
    </row>
    <row r="10" spans="1:13" s="63" customFormat="1" ht="24.75" customHeight="1">
      <c r="A10" s="306" t="s">
        <v>66</v>
      </c>
      <c r="B10" s="307">
        <f>SUM(B4:B9)</f>
        <v>552831740</v>
      </c>
      <c r="C10" s="308">
        <f>SUM(C4:C9)</f>
        <v>598600377.6400001</v>
      </c>
      <c r="D10" s="308">
        <f>SUM(D4:D9)</f>
        <v>110552664.99000001</v>
      </c>
      <c r="E10" s="308">
        <f t="shared" si="1"/>
        <v>18.468525767701184</v>
      </c>
      <c r="F10" s="309">
        <f>SUM(F4:F9)</f>
        <v>238769089.60999998</v>
      </c>
      <c r="G10" s="308">
        <f t="shared" si="2"/>
        <v>39.88789491770023</v>
      </c>
      <c r="H10" s="309">
        <v>398370505.51999998</v>
      </c>
      <c r="I10" s="403">
        <v>71.05</v>
      </c>
      <c r="J10" s="308">
        <f>SUM(J4:J9)</f>
        <v>539018508.62</v>
      </c>
      <c r="K10" s="308">
        <f>SUM(J10/C10*100)</f>
        <v>90.04646985775328</v>
      </c>
    </row>
    <row r="12" spans="1:13">
      <c r="C12" s="96"/>
      <c r="E12" s="61"/>
      <c r="F12" s="96"/>
      <c r="G12" s="61"/>
      <c r="I12" s="61"/>
      <c r="K12" s="61"/>
      <c r="M12" s="119"/>
    </row>
    <row r="13" spans="1:13">
      <c r="E13" s="61"/>
      <c r="G13" s="61"/>
      <c r="I13" s="61"/>
      <c r="K13" s="61"/>
    </row>
  </sheetData>
  <mergeCells count="4">
    <mergeCell ref="A2:A3"/>
    <mergeCell ref="B2:B3"/>
    <mergeCell ref="D2:K2"/>
    <mergeCell ref="C2:C3"/>
  </mergeCells>
  <pageMargins left="0.70866141732283472" right="0.35433070866141736" top="0.74803149606299213" bottom="0.43307086614173229" header="0.39370078740157483" footer="0.31496062992125984"/>
  <pageSetup paperSize="9" scale="96" firstPageNumber="26" orientation="landscape" useFirstPageNumber="1" r:id="rId1"/>
  <headerFooter>
    <oddHeader>&amp;R&amp;P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O12"/>
  <sheetViews>
    <sheetView workbookViewId="0">
      <selection activeCell="O15" sqref="O15"/>
    </sheetView>
  </sheetViews>
  <sheetFormatPr defaultRowHeight="14.25"/>
  <cols>
    <col min="1" max="2" width="9.375" customWidth="1"/>
    <col min="4" max="4" width="11" customWidth="1"/>
    <col min="5" max="5" width="10.375" customWidth="1"/>
    <col min="7" max="7" width="10.125" bestFit="1" customWidth="1"/>
  </cols>
  <sheetData>
    <row r="3" spans="1:15" ht="15">
      <c r="B3" t="s">
        <v>83</v>
      </c>
      <c r="C3" s="9" t="s">
        <v>73</v>
      </c>
      <c r="D3" s="9" t="s">
        <v>77</v>
      </c>
      <c r="E3" s="9" t="s">
        <v>74</v>
      </c>
      <c r="F3" s="9" t="s">
        <v>78</v>
      </c>
      <c r="G3" s="9" t="s">
        <v>79</v>
      </c>
      <c r="H3" s="9" t="s">
        <v>84</v>
      </c>
    </row>
    <row r="4" spans="1:15">
      <c r="A4" t="s">
        <v>6</v>
      </c>
      <c r="B4" s="15">
        <f>'S2'!E19</f>
        <v>32</v>
      </c>
      <c r="C4" s="91">
        <f>'S8'!E4</f>
        <v>23.690857312082354</v>
      </c>
      <c r="D4" s="91">
        <f>'S8'!E5</f>
        <v>44.217161406230858</v>
      </c>
      <c r="E4" s="91">
        <f>'S8'!E6</f>
        <v>5.1749875096322366</v>
      </c>
      <c r="F4" s="91">
        <f>'S8'!E7</f>
        <v>22.686852888985989</v>
      </c>
      <c r="G4" s="91">
        <f>'S8'!E8</f>
        <v>11.034903083823238</v>
      </c>
      <c r="H4" s="91">
        <f>'S8'!E9</f>
        <v>5.8367661563709605</v>
      </c>
    </row>
    <row r="5" spans="1:15" ht="18.75">
      <c r="A5" t="s">
        <v>7</v>
      </c>
      <c r="B5" s="15">
        <f>'S2'!G19</f>
        <v>54</v>
      </c>
      <c r="C5">
        <v>52.79</v>
      </c>
      <c r="D5">
        <v>58.18</v>
      </c>
      <c r="E5">
        <v>21.61</v>
      </c>
      <c r="F5">
        <v>37.83</v>
      </c>
      <c r="G5" s="91">
        <f>'S8'!G8</f>
        <v>32.303311599294673</v>
      </c>
      <c r="H5">
        <v>13.87</v>
      </c>
      <c r="O5" s="203">
        <v>52.79</v>
      </c>
    </row>
    <row r="6" spans="1:15" ht="18.75">
      <c r="A6" t="s">
        <v>8</v>
      </c>
      <c r="B6" s="15">
        <f>'S2'!I19</f>
        <v>77</v>
      </c>
      <c r="C6" s="15">
        <f>'S8'!I4</f>
        <v>78.38</v>
      </c>
      <c r="D6" s="15">
        <f>'S8'!I5</f>
        <v>83.45</v>
      </c>
      <c r="E6" s="15">
        <f>'S8'!I6</f>
        <v>52.73</v>
      </c>
      <c r="F6" s="15">
        <f>'S8'!I7</f>
        <v>66.819999999999993</v>
      </c>
      <c r="G6" s="15">
        <f>'S8'!I8</f>
        <v>63.62</v>
      </c>
      <c r="H6" s="15">
        <f>'S8'!I9</f>
        <v>28.24</v>
      </c>
      <c r="O6" s="203">
        <v>58.18</v>
      </c>
    </row>
    <row r="7" spans="1:15" ht="18.75">
      <c r="A7" t="s">
        <v>9</v>
      </c>
      <c r="B7" s="15">
        <f>'S2'!K19</f>
        <v>100</v>
      </c>
      <c r="C7" s="47">
        <f>('S8'!K4)</f>
        <v>94.454158391680409</v>
      </c>
      <c r="D7" s="47">
        <f>('S8'!K5)</f>
        <v>97.838195663713208</v>
      </c>
      <c r="E7" s="47">
        <f>('S8'!K6)</f>
        <v>81.108023636392531</v>
      </c>
      <c r="F7" s="47">
        <f>('S8'!K7)</f>
        <v>95.452215031359728</v>
      </c>
      <c r="G7" s="47">
        <f>('S8'!K8)</f>
        <v>84.147344879535694</v>
      </c>
      <c r="H7" s="47">
        <f>('S8'!K9)</f>
        <v>69.625295047801657</v>
      </c>
      <c r="O7" s="203">
        <v>21.61</v>
      </c>
    </row>
    <row r="8" spans="1:15" ht="18.75">
      <c r="O8" s="203">
        <v>37.83</v>
      </c>
    </row>
    <row r="9" spans="1:15" ht="18.75">
      <c r="O9" s="203">
        <v>31.14</v>
      </c>
    </row>
    <row r="10" spans="1:15" ht="18.75">
      <c r="O10" s="203">
        <v>13.87</v>
      </c>
    </row>
    <row r="11" spans="1:15" ht="18.75">
      <c r="O11" s="49" t="e">
        <f t="shared" ref="O11" si="0">SUM(N11/M11*100)</f>
        <v>#DIV/0!</v>
      </c>
    </row>
    <row r="12" spans="1:15" ht="15.75">
      <c r="O12" s="26"/>
    </row>
  </sheetData>
  <pageMargins left="0.70866141732283472" right="0.39370078740157483" top="0.74803149606299213" bottom="0.74803149606299213" header="0.39370078740157483" footer="0.31496062992125984"/>
  <pageSetup paperSize="9" firstPageNumber="27" orientation="landscape" useFirstPageNumber="1" r:id="rId1"/>
  <headerFooter>
    <oddHeader>&amp;R&amp;P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view="pageBreakPreview" topLeftCell="A7" zoomScaleSheetLayoutView="100" workbookViewId="0">
      <selection activeCell="A4" sqref="A4"/>
    </sheetView>
  </sheetViews>
  <sheetFormatPr defaultRowHeight="18.75"/>
  <cols>
    <col min="1" max="1" width="55.375" style="17" customWidth="1"/>
    <col min="2" max="2" width="17.875" style="17" customWidth="1"/>
    <col min="3" max="3" width="13.25" style="17" bestFit="1" customWidth="1"/>
    <col min="4" max="4" width="13" style="17" bestFit="1" customWidth="1"/>
    <col min="5" max="5" width="11.25" style="17" bestFit="1" customWidth="1"/>
    <col min="6" max="6" width="11.25" style="17" customWidth="1"/>
    <col min="7" max="254" width="9" style="17"/>
    <col min="255" max="255" width="60.625" style="17" customWidth="1"/>
    <col min="256" max="256" width="16.125" style="17" customWidth="1"/>
    <col min="257" max="257" width="16.75" style="17" customWidth="1"/>
    <col min="258" max="258" width="15.5" style="17" customWidth="1"/>
    <col min="259" max="259" width="11.625" style="17" customWidth="1"/>
    <col min="260" max="260" width="11.5" style="17" bestFit="1" customWidth="1"/>
    <col min="261" max="261" width="14" style="17" bestFit="1" customWidth="1"/>
    <col min="262" max="262" width="9.625" style="17" bestFit="1" customWidth="1"/>
    <col min="263" max="510" width="9" style="17"/>
    <col min="511" max="511" width="60.625" style="17" customWidth="1"/>
    <col min="512" max="512" width="16.125" style="17" customWidth="1"/>
    <col min="513" max="513" width="16.75" style="17" customWidth="1"/>
    <col min="514" max="514" width="15.5" style="17" customWidth="1"/>
    <col min="515" max="515" width="11.625" style="17" customWidth="1"/>
    <col min="516" max="516" width="11.5" style="17" bestFit="1" customWidth="1"/>
    <col min="517" max="517" width="14" style="17" bestFit="1" customWidth="1"/>
    <col min="518" max="518" width="9.625" style="17" bestFit="1" customWidth="1"/>
    <col min="519" max="766" width="9" style="17"/>
    <col min="767" max="767" width="60.625" style="17" customWidth="1"/>
    <col min="768" max="768" width="16.125" style="17" customWidth="1"/>
    <col min="769" max="769" width="16.75" style="17" customWidth="1"/>
    <col min="770" max="770" width="15.5" style="17" customWidth="1"/>
    <col min="771" max="771" width="11.625" style="17" customWidth="1"/>
    <col min="772" max="772" width="11.5" style="17" bestFit="1" customWidth="1"/>
    <col min="773" max="773" width="14" style="17" bestFit="1" customWidth="1"/>
    <col min="774" max="774" width="9.625" style="17" bestFit="1" customWidth="1"/>
    <col min="775" max="1022" width="9" style="17"/>
    <col min="1023" max="1023" width="60.625" style="17" customWidth="1"/>
    <col min="1024" max="1024" width="16.125" style="17" customWidth="1"/>
    <col min="1025" max="1025" width="16.75" style="17" customWidth="1"/>
    <col min="1026" max="1026" width="15.5" style="17" customWidth="1"/>
    <col min="1027" max="1027" width="11.625" style="17" customWidth="1"/>
    <col min="1028" max="1028" width="11.5" style="17" bestFit="1" customWidth="1"/>
    <col min="1029" max="1029" width="14" style="17" bestFit="1" customWidth="1"/>
    <col min="1030" max="1030" width="9.625" style="17" bestFit="1" customWidth="1"/>
    <col min="1031" max="1278" width="9" style="17"/>
    <col min="1279" max="1279" width="60.625" style="17" customWidth="1"/>
    <col min="1280" max="1280" width="16.125" style="17" customWidth="1"/>
    <col min="1281" max="1281" width="16.75" style="17" customWidth="1"/>
    <col min="1282" max="1282" width="15.5" style="17" customWidth="1"/>
    <col min="1283" max="1283" width="11.625" style="17" customWidth="1"/>
    <col min="1284" max="1284" width="11.5" style="17" bestFit="1" customWidth="1"/>
    <col min="1285" max="1285" width="14" style="17" bestFit="1" customWidth="1"/>
    <col min="1286" max="1286" width="9.625" style="17" bestFit="1" customWidth="1"/>
    <col min="1287" max="1534" width="9" style="17"/>
    <col min="1535" max="1535" width="60.625" style="17" customWidth="1"/>
    <col min="1536" max="1536" width="16.125" style="17" customWidth="1"/>
    <col min="1537" max="1537" width="16.75" style="17" customWidth="1"/>
    <col min="1538" max="1538" width="15.5" style="17" customWidth="1"/>
    <col min="1539" max="1539" width="11.625" style="17" customWidth="1"/>
    <col min="1540" max="1540" width="11.5" style="17" bestFit="1" customWidth="1"/>
    <col min="1541" max="1541" width="14" style="17" bestFit="1" customWidth="1"/>
    <col min="1542" max="1542" width="9.625" style="17" bestFit="1" customWidth="1"/>
    <col min="1543" max="1790" width="9" style="17"/>
    <col min="1791" max="1791" width="60.625" style="17" customWidth="1"/>
    <col min="1792" max="1792" width="16.125" style="17" customWidth="1"/>
    <col min="1793" max="1793" width="16.75" style="17" customWidth="1"/>
    <col min="1794" max="1794" width="15.5" style="17" customWidth="1"/>
    <col min="1795" max="1795" width="11.625" style="17" customWidth="1"/>
    <col min="1796" max="1796" width="11.5" style="17" bestFit="1" customWidth="1"/>
    <col min="1797" max="1797" width="14" style="17" bestFit="1" customWidth="1"/>
    <col min="1798" max="1798" width="9.625" style="17" bestFit="1" customWidth="1"/>
    <col min="1799" max="2046" width="9" style="17"/>
    <col min="2047" max="2047" width="60.625" style="17" customWidth="1"/>
    <col min="2048" max="2048" width="16.125" style="17" customWidth="1"/>
    <col min="2049" max="2049" width="16.75" style="17" customWidth="1"/>
    <col min="2050" max="2050" width="15.5" style="17" customWidth="1"/>
    <col min="2051" max="2051" width="11.625" style="17" customWidth="1"/>
    <col min="2052" max="2052" width="11.5" style="17" bestFit="1" customWidth="1"/>
    <col min="2053" max="2053" width="14" style="17" bestFit="1" customWidth="1"/>
    <col min="2054" max="2054" width="9.625" style="17" bestFit="1" customWidth="1"/>
    <col min="2055" max="2302" width="9" style="17"/>
    <col min="2303" max="2303" width="60.625" style="17" customWidth="1"/>
    <col min="2304" max="2304" width="16.125" style="17" customWidth="1"/>
    <col min="2305" max="2305" width="16.75" style="17" customWidth="1"/>
    <col min="2306" max="2306" width="15.5" style="17" customWidth="1"/>
    <col min="2307" max="2307" width="11.625" style="17" customWidth="1"/>
    <col min="2308" max="2308" width="11.5" style="17" bestFit="1" customWidth="1"/>
    <col min="2309" max="2309" width="14" style="17" bestFit="1" customWidth="1"/>
    <col min="2310" max="2310" width="9.625" style="17" bestFit="1" customWidth="1"/>
    <col min="2311" max="2558" width="9" style="17"/>
    <col min="2559" max="2559" width="60.625" style="17" customWidth="1"/>
    <col min="2560" max="2560" width="16.125" style="17" customWidth="1"/>
    <col min="2561" max="2561" width="16.75" style="17" customWidth="1"/>
    <col min="2562" max="2562" width="15.5" style="17" customWidth="1"/>
    <col min="2563" max="2563" width="11.625" style="17" customWidth="1"/>
    <col min="2564" max="2564" width="11.5" style="17" bestFit="1" customWidth="1"/>
    <col min="2565" max="2565" width="14" style="17" bestFit="1" customWidth="1"/>
    <col min="2566" max="2566" width="9.625" style="17" bestFit="1" customWidth="1"/>
    <col min="2567" max="2814" width="9" style="17"/>
    <col min="2815" max="2815" width="60.625" style="17" customWidth="1"/>
    <col min="2816" max="2816" width="16.125" style="17" customWidth="1"/>
    <col min="2817" max="2817" width="16.75" style="17" customWidth="1"/>
    <col min="2818" max="2818" width="15.5" style="17" customWidth="1"/>
    <col min="2819" max="2819" width="11.625" style="17" customWidth="1"/>
    <col min="2820" max="2820" width="11.5" style="17" bestFit="1" customWidth="1"/>
    <col min="2821" max="2821" width="14" style="17" bestFit="1" customWidth="1"/>
    <col min="2822" max="2822" width="9.625" style="17" bestFit="1" customWidth="1"/>
    <col min="2823" max="3070" width="9" style="17"/>
    <col min="3071" max="3071" width="60.625" style="17" customWidth="1"/>
    <col min="3072" max="3072" width="16.125" style="17" customWidth="1"/>
    <col min="3073" max="3073" width="16.75" style="17" customWidth="1"/>
    <col min="3074" max="3074" width="15.5" style="17" customWidth="1"/>
    <col min="3075" max="3075" width="11.625" style="17" customWidth="1"/>
    <col min="3076" max="3076" width="11.5" style="17" bestFit="1" customWidth="1"/>
    <col min="3077" max="3077" width="14" style="17" bestFit="1" customWidth="1"/>
    <col min="3078" max="3078" width="9.625" style="17" bestFit="1" customWidth="1"/>
    <col min="3079" max="3326" width="9" style="17"/>
    <col min="3327" max="3327" width="60.625" style="17" customWidth="1"/>
    <col min="3328" max="3328" width="16.125" style="17" customWidth="1"/>
    <col min="3329" max="3329" width="16.75" style="17" customWidth="1"/>
    <col min="3330" max="3330" width="15.5" style="17" customWidth="1"/>
    <col min="3331" max="3331" width="11.625" style="17" customWidth="1"/>
    <col min="3332" max="3332" width="11.5" style="17" bestFit="1" customWidth="1"/>
    <col min="3333" max="3333" width="14" style="17" bestFit="1" customWidth="1"/>
    <col min="3334" max="3334" width="9.625" style="17" bestFit="1" customWidth="1"/>
    <col min="3335" max="3582" width="9" style="17"/>
    <col min="3583" max="3583" width="60.625" style="17" customWidth="1"/>
    <col min="3584" max="3584" width="16.125" style="17" customWidth="1"/>
    <col min="3585" max="3585" width="16.75" style="17" customWidth="1"/>
    <col min="3586" max="3586" width="15.5" style="17" customWidth="1"/>
    <col min="3587" max="3587" width="11.625" style="17" customWidth="1"/>
    <col min="3588" max="3588" width="11.5" style="17" bestFit="1" customWidth="1"/>
    <col min="3589" max="3589" width="14" style="17" bestFit="1" customWidth="1"/>
    <col min="3590" max="3590" width="9.625" style="17" bestFit="1" customWidth="1"/>
    <col min="3591" max="3838" width="9" style="17"/>
    <col min="3839" max="3839" width="60.625" style="17" customWidth="1"/>
    <col min="3840" max="3840" width="16.125" style="17" customWidth="1"/>
    <col min="3841" max="3841" width="16.75" style="17" customWidth="1"/>
    <col min="3842" max="3842" width="15.5" style="17" customWidth="1"/>
    <col min="3843" max="3843" width="11.625" style="17" customWidth="1"/>
    <col min="3844" max="3844" width="11.5" style="17" bestFit="1" customWidth="1"/>
    <col min="3845" max="3845" width="14" style="17" bestFit="1" customWidth="1"/>
    <col min="3846" max="3846" width="9.625" style="17" bestFit="1" customWidth="1"/>
    <col min="3847" max="4094" width="9" style="17"/>
    <col min="4095" max="4095" width="60.625" style="17" customWidth="1"/>
    <col min="4096" max="4096" width="16.125" style="17" customWidth="1"/>
    <col min="4097" max="4097" width="16.75" style="17" customWidth="1"/>
    <col min="4098" max="4098" width="15.5" style="17" customWidth="1"/>
    <col min="4099" max="4099" width="11.625" style="17" customWidth="1"/>
    <col min="4100" max="4100" width="11.5" style="17" bestFit="1" customWidth="1"/>
    <col min="4101" max="4101" width="14" style="17" bestFit="1" customWidth="1"/>
    <col min="4102" max="4102" width="9.625" style="17" bestFit="1" customWidth="1"/>
    <col min="4103" max="4350" width="9" style="17"/>
    <col min="4351" max="4351" width="60.625" style="17" customWidth="1"/>
    <col min="4352" max="4352" width="16.125" style="17" customWidth="1"/>
    <col min="4353" max="4353" width="16.75" style="17" customWidth="1"/>
    <col min="4354" max="4354" width="15.5" style="17" customWidth="1"/>
    <col min="4355" max="4355" width="11.625" style="17" customWidth="1"/>
    <col min="4356" max="4356" width="11.5" style="17" bestFit="1" customWidth="1"/>
    <col min="4357" max="4357" width="14" style="17" bestFit="1" customWidth="1"/>
    <col min="4358" max="4358" width="9.625" style="17" bestFit="1" customWidth="1"/>
    <col min="4359" max="4606" width="9" style="17"/>
    <col min="4607" max="4607" width="60.625" style="17" customWidth="1"/>
    <col min="4608" max="4608" width="16.125" style="17" customWidth="1"/>
    <col min="4609" max="4609" width="16.75" style="17" customWidth="1"/>
    <col min="4610" max="4610" width="15.5" style="17" customWidth="1"/>
    <col min="4611" max="4611" width="11.625" style="17" customWidth="1"/>
    <col min="4612" max="4612" width="11.5" style="17" bestFit="1" customWidth="1"/>
    <col min="4613" max="4613" width="14" style="17" bestFit="1" customWidth="1"/>
    <col min="4614" max="4614" width="9.625" style="17" bestFit="1" customWidth="1"/>
    <col min="4615" max="4862" width="9" style="17"/>
    <col min="4863" max="4863" width="60.625" style="17" customWidth="1"/>
    <col min="4864" max="4864" width="16.125" style="17" customWidth="1"/>
    <col min="4865" max="4865" width="16.75" style="17" customWidth="1"/>
    <col min="4866" max="4866" width="15.5" style="17" customWidth="1"/>
    <col min="4867" max="4867" width="11.625" style="17" customWidth="1"/>
    <col min="4868" max="4868" width="11.5" style="17" bestFit="1" customWidth="1"/>
    <col min="4869" max="4869" width="14" style="17" bestFit="1" customWidth="1"/>
    <col min="4870" max="4870" width="9.625" style="17" bestFit="1" customWidth="1"/>
    <col min="4871" max="5118" width="9" style="17"/>
    <col min="5119" max="5119" width="60.625" style="17" customWidth="1"/>
    <col min="5120" max="5120" width="16.125" style="17" customWidth="1"/>
    <col min="5121" max="5121" width="16.75" style="17" customWidth="1"/>
    <col min="5122" max="5122" width="15.5" style="17" customWidth="1"/>
    <col min="5123" max="5123" width="11.625" style="17" customWidth="1"/>
    <col min="5124" max="5124" width="11.5" style="17" bestFit="1" customWidth="1"/>
    <col min="5125" max="5125" width="14" style="17" bestFit="1" customWidth="1"/>
    <col min="5126" max="5126" width="9.625" style="17" bestFit="1" customWidth="1"/>
    <col min="5127" max="5374" width="9" style="17"/>
    <col min="5375" max="5375" width="60.625" style="17" customWidth="1"/>
    <col min="5376" max="5376" width="16.125" style="17" customWidth="1"/>
    <col min="5377" max="5377" width="16.75" style="17" customWidth="1"/>
    <col min="5378" max="5378" width="15.5" style="17" customWidth="1"/>
    <col min="5379" max="5379" width="11.625" style="17" customWidth="1"/>
    <col min="5380" max="5380" width="11.5" style="17" bestFit="1" customWidth="1"/>
    <col min="5381" max="5381" width="14" style="17" bestFit="1" customWidth="1"/>
    <col min="5382" max="5382" width="9.625" style="17" bestFit="1" customWidth="1"/>
    <col min="5383" max="5630" width="9" style="17"/>
    <col min="5631" max="5631" width="60.625" style="17" customWidth="1"/>
    <col min="5632" max="5632" width="16.125" style="17" customWidth="1"/>
    <col min="5633" max="5633" width="16.75" style="17" customWidth="1"/>
    <col min="5634" max="5634" width="15.5" style="17" customWidth="1"/>
    <col min="5635" max="5635" width="11.625" style="17" customWidth="1"/>
    <col min="5636" max="5636" width="11.5" style="17" bestFit="1" customWidth="1"/>
    <col min="5637" max="5637" width="14" style="17" bestFit="1" customWidth="1"/>
    <col min="5638" max="5638" width="9.625" style="17" bestFit="1" customWidth="1"/>
    <col min="5639" max="5886" width="9" style="17"/>
    <col min="5887" max="5887" width="60.625" style="17" customWidth="1"/>
    <col min="5888" max="5888" width="16.125" style="17" customWidth="1"/>
    <col min="5889" max="5889" width="16.75" style="17" customWidth="1"/>
    <col min="5890" max="5890" width="15.5" style="17" customWidth="1"/>
    <col min="5891" max="5891" width="11.625" style="17" customWidth="1"/>
    <col min="5892" max="5892" width="11.5" style="17" bestFit="1" customWidth="1"/>
    <col min="5893" max="5893" width="14" style="17" bestFit="1" customWidth="1"/>
    <col min="5894" max="5894" width="9.625" style="17" bestFit="1" customWidth="1"/>
    <col min="5895" max="6142" width="9" style="17"/>
    <col min="6143" max="6143" width="60.625" style="17" customWidth="1"/>
    <col min="6144" max="6144" width="16.125" style="17" customWidth="1"/>
    <col min="6145" max="6145" width="16.75" style="17" customWidth="1"/>
    <col min="6146" max="6146" width="15.5" style="17" customWidth="1"/>
    <col min="6147" max="6147" width="11.625" style="17" customWidth="1"/>
    <col min="6148" max="6148" width="11.5" style="17" bestFit="1" customWidth="1"/>
    <col min="6149" max="6149" width="14" style="17" bestFit="1" customWidth="1"/>
    <col min="6150" max="6150" width="9.625" style="17" bestFit="1" customWidth="1"/>
    <col min="6151" max="6398" width="9" style="17"/>
    <col min="6399" max="6399" width="60.625" style="17" customWidth="1"/>
    <col min="6400" max="6400" width="16.125" style="17" customWidth="1"/>
    <col min="6401" max="6401" width="16.75" style="17" customWidth="1"/>
    <col min="6402" max="6402" width="15.5" style="17" customWidth="1"/>
    <col min="6403" max="6403" width="11.625" style="17" customWidth="1"/>
    <col min="6404" max="6404" width="11.5" style="17" bestFit="1" customWidth="1"/>
    <col min="6405" max="6405" width="14" style="17" bestFit="1" customWidth="1"/>
    <col min="6406" max="6406" width="9.625" style="17" bestFit="1" customWidth="1"/>
    <col min="6407" max="6654" width="9" style="17"/>
    <col min="6655" max="6655" width="60.625" style="17" customWidth="1"/>
    <col min="6656" max="6656" width="16.125" style="17" customWidth="1"/>
    <col min="6657" max="6657" width="16.75" style="17" customWidth="1"/>
    <col min="6658" max="6658" width="15.5" style="17" customWidth="1"/>
    <col min="6659" max="6659" width="11.625" style="17" customWidth="1"/>
    <col min="6660" max="6660" width="11.5" style="17" bestFit="1" customWidth="1"/>
    <col min="6661" max="6661" width="14" style="17" bestFit="1" customWidth="1"/>
    <col min="6662" max="6662" width="9.625" style="17" bestFit="1" customWidth="1"/>
    <col min="6663" max="6910" width="9" style="17"/>
    <col min="6911" max="6911" width="60.625" style="17" customWidth="1"/>
    <col min="6912" max="6912" width="16.125" style="17" customWidth="1"/>
    <col min="6913" max="6913" width="16.75" style="17" customWidth="1"/>
    <col min="6914" max="6914" width="15.5" style="17" customWidth="1"/>
    <col min="6915" max="6915" width="11.625" style="17" customWidth="1"/>
    <col min="6916" max="6916" width="11.5" style="17" bestFit="1" customWidth="1"/>
    <col min="6917" max="6917" width="14" style="17" bestFit="1" customWidth="1"/>
    <col min="6918" max="6918" width="9.625" style="17" bestFit="1" customWidth="1"/>
    <col min="6919" max="7166" width="9" style="17"/>
    <col min="7167" max="7167" width="60.625" style="17" customWidth="1"/>
    <col min="7168" max="7168" width="16.125" style="17" customWidth="1"/>
    <col min="7169" max="7169" width="16.75" style="17" customWidth="1"/>
    <col min="7170" max="7170" width="15.5" style="17" customWidth="1"/>
    <col min="7171" max="7171" width="11.625" style="17" customWidth="1"/>
    <col min="7172" max="7172" width="11.5" style="17" bestFit="1" customWidth="1"/>
    <col min="7173" max="7173" width="14" style="17" bestFit="1" customWidth="1"/>
    <col min="7174" max="7174" width="9.625" style="17" bestFit="1" customWidth="1"/>
    <col min="7175" max="7422" width="9" style="17"/>
    <col min="7423" max="7423" width="60.625" style="17" customWidth="1"/>
    <col min="7424" max="7424" width="16.125" style="17" customWidth="1"/>
    <col min="7425" max="7425" width="16.75" style="17" customWidth="1"/>
    <col min="7426" max="7426" width="15.5" style="17" customWidth="1"/>
    <col min="7427" max="7427" width="11.625" style="17" customWidth="1"/>
    <col min="7428" max="7428" width="11.5" style="17" bestFit="1" customWidth="1"/>
    <col min="7429" max="7429" width="14" style="17" bestFit="1" customWidth="1"/>
    <col min="7430" max="7430" width="9.625" style="17" bestFit="1" customWidth="1"/>
    <col min="7431" max="7678" width="9" style="17"/>
    <col min="7679" max="7679" width="60.625" style="17" customWidth="1"/>
    <col min="7680" max="7680" width="16.125" style="17" customWidth="1"/>
    <col min="7681" max="7681" width="16.75" style="17" customWidth="1"/>
    <col min="7682" max="7682" width="15.5" style="17" customWidth="1"/>
    <col min="7683" max="7683" width="11.625" style="17" customWidth="1"/>
    <col min="7684" max="7684" width="11.5" style="17" bestFit="1" customWidth="1"/>
    <col min="7685" max="7685" width="14" style="17" bestFit="1" customWidth="1"/>
    <col min="7686" max="7686" width="9.625" style="17" bestFit="1" customWidth="1"/>
    <col min="7687" max="7934" width="9" style="17"/>
    <col min="7935" max="7935" width="60.625" style="17" customWidth="1"/>
    <col min="7936" max="7936" width="16.125" style="17" customWidth="1"/>
    <col min="7937" max="7937" width="16.75" style="17" customWidth="1"/>
    <col min="7938" max="7938" width="15.5" style="17" customWidth="1"/>
    <col min="7939" max="7939" width="11.625" style="17" customWidth="1"/>
    <col min="7940" max="7940" width="11.5" style="17" bestFit="1" customWidth="1"/>
    <col min="7941" max="7941" width="14" style="17" bestFit="1" customWidth="1"/>
    <col min="7942" max="7942" width="9.625" style="17" bestFit="1" customWidth="1"/>
    <col min="7943" max="8190" width="9" style="17"/>
    <col min="8191" max="8191" width="60.625" style="17" customWidth="1"/>
    <col min="8192" max="8192" width="16.125" style="17" customWidth="1"/>
    <col min="8193" max="8193" width="16.75" style="17" customWidth="1"/>
    <col min="8194" max="8194" width="15.5" style="17" customWidth="1"/>
    <col min="8195" max="8195" width="11.625" style="17" customWidth="1"/>
    <col min="8196" max="8196" width="11.5" style="17" bestFit="1" customWidth="1"/>
    <col min="8197" max="8197" width="14" style="17" bestFit="1" customWidth="1"/>
    <col min="8198" max="8198" width="9.625" style="17" bestFit="1" customWidth="1"/>
    <col min="8199" max="8446" width="9" style="17"/>
    <col min="8447" max="8447" width="60.625" style="17" customWidth="1"/>
    <col min="8448" max="8448" width="16.125" style="17" customWidth="1"/>
    <col min="8449" max="8449" width="16.75" style="17" customWidth="1"/>
    <col min="8450" max="8450" width="15.5" style="17" customWidth="1"/>
    <col min="8451" max="8451" width="11.625" style="17" customWidth="1"/>
    <col min="8452" max="8452" width="11.5" style="17" bestFit="1" customWidth="1"/>
    <col min="8453" max="8453" width="14" style="17" bestFit="1" customWidth="1"/>
    <col min="8454" max="8454" width="9.625" style="17" bestFit="1" customWidth="1"/>
    <col min="8455" max="8702" width="9" style="17"/>
    <col min="8703" max="8703" width="60.625" style="17" customWidth="1"/>
    <col min="8704" max="8704" width="16.125" style="17" customWidth="1"/>
    <col min="8705" max="8705" width="16.75" style="17" customWidth="1"/>
    <col min="8706" max="8706" width="15.5" style="17" customWidth="1"/>
    <col min="8707" max="8707" width="11.625" style="17" customWidth="1"/>
    <col min="8708" max="8708" width="11.5" style="17" bestFit="1" customWidth="1"/>
    <col min="8709" max="8709" width="14" style="17" bestFit="1" customWidth="1"/>
    <col min="8710" max="8710" width="9.625" style="17" bestFit="1" customWidth="1"/>
    <col min="8711" max="8958" width="9" style="17"/>
    <col min="8959" max="8959" width="60.625" style="17" customWidth="1"/>
    <col min="8960" max="8960" width="16.125" style="17" customWidth="1"/>
    <col min="8961" max="8961" width="16.75" style="17" customWidth="1"/>
    <col min="8962" max="8962" width="15.5" style="17" customWidth="1"/>
    <col min="8963" max="8963" width="11.625" style="17" customWidth="1"/>
    <col min="8964" max="8964" width="11.5" style="17" bestFit="1" customWidth="1"/>
    <col min="8965" max="8965" width="14" style="17" bestFit="1" customWidth="1"/>
    <col min="8966" max="8966" width="9.625" style="17" bestFit="1" customWidth="1"/>
    <col min="8967" max="9214" width="9" style="17"/>
    <col min="9215" max="9215" width="60.625" style="17" customWidth="1"/>
    <col min="9216" max="9216" width="16.125" style="17" customWidth="1"/>
    <col min="9217" max="9217" width="16.75" style="17" customWidth="1"/>
    <col min="9218" max="9218" width="15.5" style="17" customWidth="1"/>
    <col min="9219" max="9219" width="11.625" style="17" customWidth="1"/>
    <col min="9220" max="9220" width="11.5" style="17" bestFit="1" customWidth="1"/>
    <col min="9221" max="9221" width="14" style="17" bestFit="1" customWidth="1"/>
    <col min="9222" max="9222" width="9.625" style="17" bestFit="1" customWidth="1"/>
    <col min="9223" max="9470" width="9" style="17"/>
    <col min="9471" max="9471" width="60.625" style="17" customWidth="1"/>
    <col min="9472" max="9472" width="16.125" style="17" customWidth="1"/>
    <col min="9473" max="9473" width="16.75" style="17" customWidth="1"/>
    <col min="9474" max="9474" width="15.5" style="17" customWidth="1"/>
    <col min="9475" max="9475" width="11.625" style="17" customWidth="1"/>
    <col min="9476" max="9476" width="11.5" style="17" bestFit="1" customWidth="1"/>
    <col min="9477" max="9477" width="14" style="17" bestFit="1" customWidth="1"/>
    <col min="9478" max="9478" width="9.625" style="17" bestFit="1" customWidth="1"/>
    <col min="9479" max="9726" width="9" style="17"/>
    <col min="9727" max="9727" width="60.625" style="17" customWidth="1"/>
    <col min="9728" max="9728" width="16.125" style="17" customWidth="1"/>
    <col min="9729" max="9729" width="16.75" style="17" customWidth="1"/>
    <col min="9730" max="9730" width="15.5" style="17" customWidth="1"/>
    <col min="9731" max="9731" width="11.625" style="17" customWidth="1"/>
    <col min="9732" max="9732" width="11.5" style="17" bestFit="1" customWidth="1"/>
    <col min="9733" max="9733" width="14" style="17" bestFit="1" customWidth="1"/>
    <col min="9734" max="9734" width="9.625" style="17" bestFit="1" customWidth="1"/>
    <col min="9735" max="9982" width="9" style="17"/>
    <col min="9983" max="9983" width="60.625" style="17" customWidth="1"/>
    <col min="9984" max="9984" width="16.125" style="17" customWidth="1"/>
    <col min="9985" max="9985" width="16.75" style="17" customWidth="1"/>
    <col min="9986" max="9986" width="15.5" style="17" customWidth="1"/>
    <col min="9987" max="9987" width="11.625" style="17" customWidth="1"/>
    <col min="9988" max="9988" width="11.5" style="17" bestFit="1" customWidth="1"/>
    <col min="9989" max="9989" width="14" style="17" bestFit="1" customWidth="1"/>
    <col min="9990" max="9990" width="9.625" style="17" bestFit="1" customWidth="1"/>
    <col min="9991" max="10238" width="9" style="17"/>
    <col min="10239" max="10239" width="60.625" style="17" customWidth="1"/>
    <col min="10240" max="10240" width="16.125" style="17" customWidth="1"/>
    <col min="10241" max="10241" width="16.75" style="17" customWidth="1"/>
    <col min="10242" max="10242" width="15.5" style="17" customWidth="1"/>
    <col min="10243" max="10243" width="11.625" style="17" customWidth="1"/>
    <col min="10244" max="10244" width="11.5" style="17" bestFit="1" customWidth="1"/>
    <col min="10245" max="10245" width="14" style="17" bestFit="1" customWidth="1"/>
    <col min="10246" max="10246" width="9.625" style="17" bestFit="1" customWidth="1"/>
    <col min="10247" max="10494" width="9" style="17"/>
    <col min="10495" max="10495" width="60.625" style="17" customWidth="1"/>
    <col min="10496" max="10496" width="16.125" style="17" customWidth="1"/>
    <col min="10497" max="10497" width="16.75" style="17" customWidth="1"/>
    <col min="10498" max="10498" width="15.5" style="17" customWidth="1"/>
    <col min="10499" max="10499" width="11.625" style="17" customWidth="1"/>
    <col min="10500" max="10500" width="11.5" style="17" bestFit="1" customWidth="1"/>
    <col min="10501" max="10501" width="14" style="17" bestFit="1" customWidth="1"/>
    <col min="10502" max="10502" width="9.625" style="17" bestFit="1" customWidth="1"/>
    <col min="10503" max="10750" width="9" style="17"/>
    <col min="10751" max="10751" width="60.625" style="17" customWidth="1"/>
    <col min="10752" max="10752" width="16.125" style="17" customWidth="1"/>
    <col min="10753" max="10753" width="16.75" style="17" customWidth="1"/>
    <col min="10754" max="10754" width="15.5" style="17" customWidth="1"/>
    <col min="10755" max="10755" width="11.625" style="17" customWidth="1"/>
    <col min="10756" max="10756" width="11.5" style="17" bestFit="1" customWidth="1"/>
    <col min="10757" max="10757" width="14" style="17" bestFit="1" customWidth="1"/>
    <col min="10758" max="10758" width="9.625" style="17" bestFit="1" customWidth="1"/>
    <col min="10759" max="11006" width="9" style="17"/>
    <col min="11007" max="11007" width="60.625" style="17" customWidth="1"/>
    <col min="11008" max="11008" width="16.125" style="17" customWidth="1"/>
    <col min="11009" max="11009" width="16.75" style="17" customWidth="1"/>
    <col min="11010" max="11010" width="15.5" style="17" customWidth="1"/>
    <col min="11011" max="11011" width="11.625" style="17" customWidth="1"/>
    <col min="11012" max="11012" width="11.5" style="17" bestFit="1" customWidth="1"/>
    <col min="11013" max="11013" width="14" style="17" bestFit="1" customWidth="1"/>
    <col min="11014" max="11014" width="9.625" style="17" bestFit="1" customWidth="1"/>
    <col min="11015" max="11262" width="9" style="17"/>
    <col min="11263" max="11263" width="60.625" style="17" customWidth="1"/>
    <col min="11264" max="11264" width="16.125" style="17" customWidth="1"/>
    <col min="11265" max="11265" width="16.75" style="17" customWidth="1"/>
    <col min="11266" max="11266" width="15.5" style="17" customWidth="1"/>
    <col min="11267" max="11267" width="11.625" style="17" customWidth="1"/>
    <col min="11268" max="11268" width="11.5" style="17" bestFit="1" customWidth="1"/>
    <col min="11269" max="11269" width="14" style="17" bestFit="1" customWidth="1"/>
    <col min="11270" max="11270" width="9.625" style="17" bestFit="1" customWidth="1"/>
    <col min="11271" max="11518" width="9" style="17"/>
    <col min="11519" max="11519" width="60.625" style="17" customWidth="1"/>
    <col min="11520" max="11520" width="16.125" style="17" customWidth="1"/>
    <col min="11521" max="11521" width="16.75" style="17" customWidth="1"/>
    <col min="11522" max="11522" width="15.5" style="17" customWidth="1"/>
    <col min="11523" max="11523" width="11.625" style="17" customWidth="1"/>
    <col min="11524" max="11524" width="11.5" style="17" bestFit="1" customWidth="1"/>
    <col min="11525" max="11525" width="14" style="17" bestFit="1" customWidth="1"/>
    <col min="11526" max="11526" width="9.625" style="17" bestFit="1" customWidth="1"/>
    <col min="11527" max="11774" width="9" style="17"/>
    <col min="11775" max="11775" width="60.625" style="17" customWidth="1"/>
    <col min="11776" max="11776" width="16.125" style="17" customWidth="1"/>
    <col min="11777" max="11777" width="16.75" style="17" customWidth="1"/>
    <col min="11778" max="11778" width="15.5" style="17" customWidth="1"/>
    <col min="11779" max="11779" width="11.625" style="17" customWidth="1"/>
    <col min="11780" max="11780" width="11.5" style="17" bestFit="1" customWidth="1"/>
    <col min="11781" max="11781" width="14" style="17" bestFit="1" customWidth="1"/>
    <col min="11782" max="11782" width="9.625" style="17" bestFit="1" customWidth="1"/>
    <col min="11783" max="12030" width="9" style="17"/>
    <col min="12031" max="12031" width="60.625" style="17" customWidth="1"/>
    <col min="12032" max="12032" width="16.125" style="17" customWidth="1"/>
    <col min="12033" max="12033" width="16.75" style="17" customWidth="1"/>
    <col min="12034" max="12034" width="15.5" style="17" customWidth="1"/>
    <col min="12035" max="12035" width="11.625" style="17" customWidth="1"/>
    <col min="12036" max="12036" width="11.5" style="17" bestFit="1" customWidth="1"/>
    <col min="12037" max="12037" width="14" style="17" bestFit="1" customWidth="1"/>
    <col min="12038" max="12038" width="9.625" style="17" bestFit="1" customWidth="1"/>
    <col min="12039" max="12286" width="9" style="17"/>
    <col min="12287" max="12287" width="60.625" style="17" customWidth="1"/>
    <col min="12288" max="12288" width="16.125" style="17" customWidth="1"/>
    <col min="12289" max="12289" width="16.75" style="17" customWidth="1"/>
    <col min="12290" max="12290" width="15.5" style="17" customWidth="1"/>
    <col min="12291" max="12291" width="11.625" style="17" customWidth="1"/>
    <col min="12292" max="12292" width="11.5" style="17" bestFit="1" customWidth="1"/>
    <col min="12293" max="12293" width="14" style="17" bestFit="1" customWidth="1"/>
    <col min="12294" max="12294" width="9.625" style="17" bestFit="1" customWidth="1"/>
    <col min="12295" max="12542" width="9" style="17"/>
    <col min="12543" max="12543" width="60.625" style="17" customWidth="1"/>
    <col min="12544" max="12544" width="16.125" style="17" customWidth="1"/>
    <col min="12545" max="12545" width="16.75" style="17" customWidth="1"/>
    <col min="12546" max="12546" width="15.5" style="17" customWidth="1"/>
    <col min="12547" max="12547" width="11.625" style="17" customWidth="1"/>
    <col min="12548" max="12548" width="11.5" style="17" bestFit="1" customWidth="1"/>
    <col min="12549" max="12549" width="14" style="17" bestFit="1" customWidth="1"/>
    <col min="12550" max="12550" width="9.625" style="17" bestFit="1" customWidth="1"/>
    <col min="12551" max="12798" width="9" style="17"/>
    <col min="12799" max="12799" width="60.625" style="17" customWidth="1"/>
    <col min="12800" max="12800" width="16.125" style="17" customWidth="1"/>
    <col min="12801" max="12801" width="16.75" style="17" customWidth="1"/>
    <col min="12802" max="12802" width="15.5" style="17" customWidth="1"/>
    <col min="12803" max="12803" width="11.625" style="17" customWidth="1"/>
    <col min="12804" max="12804" width="11.5" style="17" bestFit="1" customWidth="1"/>
    <col min="12805" max="12805" width="14" style="17" bestFit="1" customWidth="1"/>
    <col min="12806" max="12806" width="9.625" style="17" bestFit="1" customWidth="1"/>
    <col min="12807" max="13054" width="9" style="17"/>
    <col min="13055" max="13055" width="60.625" style="17" customWidth="1"/>
    <col min="13056" max="13056" width="16.125" style="17" customWidth="1"/>
    <col min="13057" max="13057" width="16.75" style="17" customWidth="1"/>
    <col min="13058" max="13058" width="15.5" style="17" customWidth="1"/>
    <col min="13059" max="13059" width="11.625" style="17" customWidth="1"/>
    <col min="13060" max="13060" width="11.5" style="17" bestFit="1" customWidth="1"/>
    <col min="13061" max="13061" width="14" style="17" bestFit="1" customWidth="1"/>
    <col min="13062" max="13062" width="9.625" style="17" bestFit="1" customWidth="1"/>
    <col min="13063" max="13310" width="9" style="17"/>
    <col min="13311" max="13311" width="60.625" style="17" customWidth="1"/>
    <col min="13312" max="13312" width="16.125" style="17" customWidth="1"/>
    <col min="13313" max="13313" width="16.75" style="17" customWidth="1"/>
    <col min="13314" max="13314" width="15.5" style="17" customWidth="1"/>
    <col min="13315" max="13315" width="11.625" style="17" customWidth="1"/>
    <col min="13316" max="13316" width="11.5" style="17" bestFit="1" customWidth="1"/>
    <col min="13317" max="13317" width="14" style="17" bestFit="1" customWidth="1"/>
    <col min="13318" max="13318" width="9.625" style="17" bestFit="1" customWidth="1"/>
    <col min="13319" max="13566" width="9" style="17"/>
    <col min="13567" max="13567" width="60.625" style="17" customWidth="1"/>
    <col min="13568" max="13568" width="16.125" style="17" customWidth="1"/>
    <col min="13569" max="13569" width="16.75" style="17" customWidth="1"/>
    <col min="13570" max="13570" width="15.5" style="17" customWidth="1"/>
    <col min="13571" max="13571" width="11.625" style="17" customWidth="1"/>
    <col min="13572" max="13572" width="11.5" style="17" bestFit="1" customWidth="1"/>
    <col min="13573" max="13573" width="14" style="17" bestFit="1" customWidth="1"/>
    <col min="13574" max="13574" width="9.625" style="17" bestFit="1" customWidth="1"/>
    <col min="13575" max="13822" width="9" style="17"/>
    <col min="13823" max="13823" width="60.625" style="17" customWidth="1"/>
    <col min="13824" max="13824" width="16.125" style="17" customWidth="1"/>
    <col min="13825" max="13825" width="16.75" style="17" customWidth="1"/>
    <col min="13826" max="13826" width="15.5" style="17" customWidth="1"/>
    <col min="13827" max="13827" width="11.625" style="17" customWidth="1"/>
    <col min="13828" max="13828" width="11.5" style="17" bestFit="1" customWidth="1"/>
    <col min="13829" max="13829" width="14" style="17" bestFit="1" customWidth="1"/>
    <col min="13830" max="13830" width="9.625" style="17" bestFit="1" customWidth="1"/>
    <col min="13831" max="14078" width="9" style="17"/>
    <col min="14079" max="14079" width="60.625" style="17" customWidth="1"/>
    <col min="14080" max="14080" width="16.125" style="17" customWidth="1"/>
    <col min="14081" max="14081" width="16.75" style="17" customWidth="1"/>
    <col min="14082" max="14082" width="15.5" style="17" customWidth="1"/>
    <col min="14083" max="14083" width="11.625" style="17" customWidth="1"/>
    <col min="14084" max="14084" width="11.5" style="17" bestFit="1" customWidth="1"/>
    <col min="14085" max="14085" width="14" style="17" bestFit="1" customWidth="1"/>
    <col min="14086" max="14086" width="9.625" style="17" bestFit="1" customWidth="1"/>
    <col min="14087" max="14334" width="9" style="17"/>
    <col min="14335" max="14335" width="60.625" style="17" customWidth="1"/>
    <col min="14336" max="14336" width="16.125" style="17" customWidth="1"/>
    <col min="14337" max="14337" width="16.75" style="17" customWidth="1"/>
    <col min="14338" max="14338" width="15.5" style="17" customWidth="1"/>
    <col min="14339" max="14339" width="11.625" style="17" customWidth="1"/>
    <col min="14340" max="14340" width="11.5" style="17" bestFit="1" customWidth="1"/>
    <col min="14341" max="14341" width="14" style="17" bestFit="1" customWidth="1"/>
    <col min="14342" max="14342" width="9.625" style="17" bestFit="1" customWidth="1"/>
    <col min="14343" max="14590" width="9" style="17"/>
    <col min="14591" max="14591" width="60.625" style="17" customWidth="1"/>
    <col min="14592" max="14592" width="16.125" style="17" customWidth="1"/>
    <col min="14593" max="14593" width="16.75" style="17" customWidth="1"/>
    <col min="14594" max="14594" width="15.5" style="17" customWidth="1"/>
    <col min="14595" max="14595" width="11.625" style="17" customWidth="1"/>
    <col min="14596" max="14596" width="11.5" style="17" bestFit="1" customWidth="1"/>
    <col min="14597" max="14597" width="14" style="17" bestFit="1" customWidth="1"/>
    <col min="14598" max="14598" width="9.625" style="17" bestFit="1" customWidth="1"/>
    <col min="14599" max="14846" width="9" style="17"/>
    <col min="14847" max="14847" width="60.625" style="17" customWidth="1"/>
    <col min="14848" max="14848" width="16.125" style="17" customWidth="1"/>
    <col min="14849" max="14849" width="16.75" style="17" customWidth="1"/>
    <col min="14850" max="14850" width="15.5" style="17" customWidth="1"/>
    <col min="14851" max="14851" width="11.625" style="17" customWidth="1"/>
    <col min="14852" max="14852" width="11.5" style="17" bestFit="1" customWidth="1"/>
    <col min="14853" max="14853" width="14" style="17" bestFit="1" customWidth="1"/>
    <col min="14854" max="14854" width="9.625" style="17" bestFit="1" customWidth="1"/>
    <col min="14855" max="15102" width="9" style="17"/>
    <col min="15103" max="15103" width="60.625" style="17" customWidth="1"/>
    <col min="15104" max="15104" width="16.125" style="17" customWidth="1"/>
    <col min="15105" max="15105" width="16.75" style="17" customWidth="1"/>
    <col min="15106" max="15106" width="15.5" style="17" customWidth="1"/>
    <col min="15107" max="15107" width="11.625" style="17" customWidth="1"/>
    <col min="15108" max="15108" width="11.5" style="17" bestFit="1" customWidth="1"/>
    <col min="15109" max="15109" width="14" style="17" bestFit="1" customWidth="1"/>
    <col min="15110" max="15110" width="9.625" style="17" bestFit="1" customWidth="1"/>
    <col min="15111" max="15358" width="9" style="17"/>
    <col min="15359" max="15359" width="60.625" style="17" customWidth="1"/>
    <col min="15360" max="15360" width="16.125" style="17" customWidth="1"/>
    <col min="15361" max="15361" width="16.75" style="17" customWidth="1"/>
    <col min="15362" max="15362" width="15.5" style="17" customWidth="1"/>
    <col min="15363" max="15363" width="11.625" style="17" customWidth="1"/>
    <col min="15364" max="15364" width="11.5" style="17" bestFit="1" customWidth="1"/>
    <col min="15365" max="15365" width="14" style="17" bestFit="1" customWidth="1"/>
    <col min="15366" max="15366" width="9.625" style="17" bestFit="1" customWidth="1"/>
    <col min="15367" max="15614" width="9" style="17"/>
    <col min="15615" max="15615" width="60.625" style="17" customWidth="1"/>
    <col min="15616" max="15616" width="16.125" style="17" customWidth="1"/>
    <col min="15617" max="15617" width="16.75" style="17" customWidth="1"/>
    <col min="15618" max="15618" width="15.5" style="17" customWidth="1"/>
    <col min="15619" max="15619" width="11.625" style="17" customWidth="1"/>
    <col min="15620" max="15620" width="11.5" style="17" bestFit="1" customWidth="1"/>
    <col min="15621" max="15621" width="14" style="17" bestFit="1" customWidth="1"/>
    <col min="15622" max="15622" width="9.625" style="17" bestFit="1" customWidth="1"/>
    <col min="15623" max="15870" width="9" style="17"/>
    <col min="15871" max="15871" width="60.625" style="17" customWidth="1"/>
    <col min="15872" max="15872" width="16.125" style="17" customWidth="1"/>
    <col min="15873" max="15873" width="16.75" style="17" customWidth="1"/>
    <col min="15874" max="15874" width="15.5" style="17" customWidth="1"/>
    <col min="15875" max="15875" width="11.625" style="17" customWidth="1"/>
    <col min="15876" max="15876" width="11.5" style="17" bestFit="1" customWidth="1"/>
    <col min="15877" max="15877" width="14" style="17" bestFit="1" customWidth="1"/>
    <col min="15878" max="15878" width="9.625" style="17" bestFit="1" customWidth="1"/>
    <col min="15879" max="16126" width="9" style="17"/>
    <col min="16127" max="16127" width="60.625" style="17" customWidth="1"/>
    <col min="16128" max="16128" width="16.125" style="17" customWidth="1"/>
    <col min="16129" max="16129" width="16.75" style="17" customWidth="1"/>
    <col min="16130" max="16130" width="15.5" style="17" customWidth="1"/>
    <col min="16131" max="16131" width="11.625" style="17" customWidth="1"/>
    <col min="16132" max="16132" width="11.5" style="17" bestFit="1" customWidth="1"/>
    <col min="16133" max="16133" width="14" style="17" bestFit="1" customWidth="1"/>
    <col min="16134" max="16134" width="9.625" style="17" bestFit="1" customWidth="1"/>
    <col min="16135" max="16384" width="9" style="17"/>
  </cols>
  <sheetData>
    <row r="1" spans="1:6" s="16" customFormat="1" ht="21">
      <c r="A1" s="522" t="s">
        <v>365</v>
      </c>
      <c r="B1" s="522"/>
    </row>
    <row r="2" spans="1:6">
      <c r="A2" s="83"/>
      <c r="B2" s="523" t="s">
        <v>475</v>
      </c>
      <c r="C2" s="523"/>
      <c r="D2" s="523"/>
      <c r="E2" s="523"/>
      <c r="F2" s="523"/>
    </row>
    <row r="3" spans="1:6" ht="37.5">
      <c r="A3" s="231" t="s">
        <v>292</v>
      </c>
      <c r="B3" s="319" t="s">
        <v>295</v>
      </c>
      <c r="C3" s="324" t="s">
        <v>476</v>
      </c>
      <c r="D3" s="324" t="s">
        <v>477</v>
      </c>
      <c r="E3" s="324" t="s">
        <v>478</v>
      </c>
      <c r="F3" s="319" t="s">
        <v>296</v>
      </c>
    </row>
    <row r="4" spans="1:6">
      <c r="A4" s="264" t="s">
        <v>282</v>
      </c>
      <c r="B4" s="429">
        <v>179198.16</v>
      </c>
      <c r="C4" s="429">
        <v>12369.31</v>
      </c>
      <c r="D4" s="265">
        <f>SUM(C4/B4*100)</f>
        <v>6.9025876158549844</v>
      </c>
      <c r="E4" s="265">
        <f>SUM(B4-C4)</f>
        <v>166828.85</v>
      </c>
      <c r="F4" s="164">
        <f>SUM(E4/B4*100)</f>
        <v>93.097412384145017</v>
      </c>
    </row>
    <row r="5" spans="1:6">
      <c r="A5" s="264" t="s">
        <v>283</v>
      </c>
      <c r="B5" s="429">
        <v>233215.8</v>
      </c>
      <c r="C5" s="429">
        <v>134976</v>
      </c>
      <c r="D5" s="265">
        <f t="shared" ref="D5:D18" si="0">SUM(C5/B5*100)</f>
        <v>57.876010115952695</v>
      </c>
      <c r="E5" s="265">
        <f t="shared" ref="E5:E17" si="1">SUM(B5-C5)</f>
        <v>98239.799999999988</v>
      </c>
      <c r="F5" s="164">
        <f t="shared" ref="F5:F17" si="2">SUM(E5/B5*100)</f>
        <v>42.123989884047305</v>
      </c>
    </row>
    <row r="6" spans="1:6">
      <c r="A6" s="264" t="s">
        <v>284</v>
      </c>
      <c r="B6" s="429">
        <v>250027.68</v>
      </c>
      <c r="C6" s="429">
        <v>213788</v>
      </c>
      <c r="D6" s="265">
        <f t="shared" si="0"/>
        <v>85.505732805263804</v>
      </c>
      <c r="E6" s="265">
        <f t="shared" si="1"/>
        <v>36239.679999999993</v>
      </c>
      <c r="F6" s="164">
        <f t="shared" si="2"/>
        <v>14.494267194736196</v>
      </c>
    </row>
    <row r="7" spans="1:6">
      <c r="A7" s="264" t="s">
        <v>285</v>
      </c>
      <c r="B7" s="429">
        <v>54458.76</v>
      </c>
      <c r="C7" s="429">
        <v>51265.34</v>
      </c>
      <c r="D7" s="265">
        <f t="shared" si="0"/>
        <v>94.136076546730024</v>
      </c>
      <c r="E7" s="265">
        <f t="shared" si="1"/>
        <v>3193.4200000000055</v>
      </c>
      <c r="F7" s="164">
        <f t="shared" si="2"/>
        <v>5.8639234532699707</v>
      </c>
    </row>
    <row r="8" spans="1:6">
      <c r="A8" s="264" t="s">
        <v>286</v>
      </c>
      <c r="B8" s="429">
        <v>71933</v>
      </c>
      <c r="C8" s="429">
        <v>71930</v>
      </c>
      <c r="D8" s="265">
        <f t="shared" si="0"/>
        <v>99.995829452407108</v>
      </c>
      <c r="E8" s="265">
        <f t="shared" si="1"/>
        <v>3</v>
      </c>
      <c r="F8" s="164">
        <f t="shared" si="2"/>
        <v>4.170547592898948E-3</v>
      </c>
    </row>
    <row r="9" spans="1:6">
      <c r="A9" s="264" t="s">
        <v>287</v>
      </c>
      <c r="B9" s="429">
        <v>17020.36</v>
      </c>
      <c r="C9" s="429">
        <v>14373.86</v>
      </c>
      <c r="D9" s="265">
        <f t="shared" si="0"/>
        <v>84.450975185013704</v>
      </c>
      <c r="E9" s="265">
        <f t="shared" si="1"/>
        <v>2646.5</v>
      </c>
      <c r="F9" s="164">
        <f t="shared" si="2"/>
        <v>15.549024814986288</v>
      </c>
    </row>
    <row r="10" spans="1:6">
      <c r="A10" s="264" t="s">
        <v>288</v>
      </c>
      <c r="B10" s="429">
        <v>437396</v>
      </c>
      <c r="C10" s="429">
        <v>351288</v>
      </c>
      <c r="D10" s="265">
        <f t="shared" si="0"/>
        <v>80.313491664304209</v>
      </c>
      <c r="E10" s="265">
        <f t="shared" si="1"/>
        <v>86108</v>
      </c>
      <c r="F10" s="164">
        <f t="shared" si="2"/>
        <v>19.686508335695798</v>
      </c>
    </row>
    <row r="11" spans="1:6">
      <c r="A11" s="264" t="s">
        <v>366</v>
      </c>
      <c r="B11" s="429">
        <v>318464.71999999997</v>
      </c>
      <c r="C11" s="429">
        <v>317669.93</v>
      </c>
      <c r="D11" s="265">
        <f t="shared" si="0"/>
        <v>99.750430754150727</v>
      </c>
      <c r="E11" s="265">
        <f t="shared" si="1"/>
        <v>794.78999999997905</v>
      </c>
      <c r="F11" s="164">
        <f t="shared" si="2"/>
        <v>0.24956924584926676</v>
      </c>
    </row>
    <row r="12" spans="1:6">
      <c r="A12" s="264" t="s">
        <v>367</v>
      </c>
      <c r="B12" s="429">
        <v>1400</v>
      </c>
      <c r="C12" s="429">
        <v>600</v>
      </c>
      <c r="D12" s="265">
        <f t="shared" si="0"/>
        <v>42.857142857142854</v>
      </c>
      <c r="E12" s="265">
        <f t="shared" si="1"/>
        <v>800</v>
      </c>
      <c r="F12" s="164">
        <f t="shared" si="2"/>
        <v>57.142857142857139</v>
      </c>
    </row>
    <row r="13" spans="1:6">
      <c r="A13" s="264" t="s">
        <v>289</v>
      </c>
      <c r="B13" s="429">
        <v>664767.6</v>
      </c>
      <c r="C13" s="429">
        <v>563615.06000000006</v>
      </c>
      <c r="D13" s="265">
        <f t="shared" si="0"/>
        <v>84.783774058783862</v>
      </c>
      <c r="E13" s="265">
        <f t="shared" si="1"/>
        <v>101152.53999999992</v>
      </c>
      <c r="F13" s="164">
        <f t="shared" si="2"/>
        <v>15.216225941216138</v>
      </c>
    </row>
    <row r="14" spans="1:6">
      <c r="A14" s="264" t="s">
        <v>290</v>
      </c>
      <c r="B14" s="429">
        <v>963500.9</v>
      </c>
      <c r="C14" s="429">
        <v>732807.48</v>
      </c>
      <c r="D14" s="265">
        <f t="shared" si="0"/>
        <v>76.056750958924894</v>
      </c>
      <c r="E14" s="265">
        <f t="shared" si="1"/>
        <v>230693.42000000004</v>
      </c>
      <c r="F14" s="164">
        <f t="shared" si="2"/>
        <v>23.943249041075106</v>
      </c>
    </row>
    <row r="15" spans="1:6">
      <c r="A15" s="264" t="s">
        <v>191</v>
      </c>
      <c r="B15" s="429">
        <v>3459566.76</v>
      </c>
      <c r="C15" s="429">
        <v>1079452.42</v>
      </c>
      <c r="D15" s="265">
        <f t="shared" si="0"/>
        <v>31.201953738276757</v>
      </c>
      <c r="E15" s="265">
        <f t="shared" si="1"/>
        <v>2380114.34</v>
      </c>
      <c r="F15" s="164">
        <f t="shared" si="2"/>
        <v>68.798046261723243</v>
      </c>
    </row>
    <row r="16" spans="1:6">
      <c r="A16" s="264" t="s">
        <v>192</v>
      </c>
      <c r="B16" s="429">
        <v>63563</v>
      </c>
      <c r="C16" s="429">
        <v>63563</v>
      </c>
      <c r="D16" s="265">
        <f t="shared" si="0"/>
        <v>100</v>
      </c>
      <c r="E16" s="265">
        <f t="shared" si="1"/>
        <v>0</v>
      </c>
      <c r="F16" s="164">
        <f t="shared" si="2"/>
        <v>0</v>
      </c>
    </row>
    <row r="17" spans="1:6">
      <c r="A17" s="264" t="s">
        <v>291</v>
      </c>
      <c r="B17" s="429">
        <v>1081557</v>
      </c>
      <c r="C17" s="429">
        <v>826050</v>
      </c>
      <c r="D17" s="265">
        <f t="shared" si="0"/>
        <v>76.376002374354741</v>
      </c>
      <c r="E17" s="265">
        <f t="shared" si="1"/>
        <v>255507</v>
      </c>
      <c r="F17" s="164">
        <f t="shared" si="2"/>
        <v>23.623997625645252</v>
      </c>
    </row>
    <row r="18" spans="1:6">
      <c r="A18" s="232" t="s">
        <v>4</v>
      </c>
      <c r="B18" s="430">
        <f>SUM(B4:B17)</f>
        <v>7796069.7399999993</v>
      </c>
      <c r="C18" s="430">
        <f>SUM(C4:C17)</f>
        <v>4433748.4000000004</v>
      </c>
      <c r="D18" s="257">
        <f t="shared" si="0"/>
        <v>56.871584630026675</v>
      </c>
      <c r="E18" s="233">
        <f>SUM(E4:E17)</f>
        <v>3362321.34</v>
      </c>
      <c r="F18" s="165">
        <f>SUM(E18/B18*100)</f>
        <v>43.128415369973332</v>
      </c>
    </row>
  </sheetData>
  <mergeCells count="2">
    <mergeCell ref="A1:B1"/>
    <mergeCell ref="B2:F2"/>
  </mergeCells>
  <pageMargins left="0.70866141732283472" right="0.39370078740157483" top="0.74803149606299213" bottom="0.15748031496062992" header="0.39370078740157483" footer="0.15748031496062992"/>
  <pageSetup paperSize="9" scale="96" firstPageNumber="28" orientation="landscape" useFirstPageNumber="1" r:id="rId1"/>
  <headerFooter>
    <oddHeader>&amp;R&amp;P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5"/>
  <sheetViews>
    <sheetView view="pageBreakPreview" zoomScaleNormal="100" zoomScaleSheetLayoutView="100" workbookViewId="0">
      <selection activeCell="A62" sqref="A62:F65"/>
    </sheetView>
  </sheetViews>
  <sheetFormatPr defaultRowHeight="29.25" customHeight="1"/>
  <cols>
    <col min="1" max="1" width="51.5" style="11" customWidth="1"/>
    <col min="2" max="3" width="16.625" style="11" customWidth="1"/>
    <col min="4" max="4" width="16.625" style="19" customWidth="1"/>
    <col min="5" max="5" width="14.375" style="19" customWidth="1"/>
    <col min="6" max="6" width="14.375" style="11" customWidth="1"/>
    <col min="7" max="16384" width="9" style="11"/>
  </cols>
  <sheetData>
    <row r="1" spans="1:9" ht="44.25" customHeight="1" thickBot="1">
      <c r="A1" s="442" t="s">
        <v>412</v>
      </c>
      <c r="B1" s="442" t="s">
        <v>413</v>
      </c>
      <c r="C1" s="442" t="s">
        <v>83</v>
      </c>
      <c r="D1" s="447" t="s">
        <v>545</v>
      </c>
      <c r="E1" s="447" t="s">
        <v>414</v>
      </c>
      <c r="F1" s="442" t="s">
        <v>546</v>
      </c>
      <c r="G1" s="413"/>
      <c r="H1" s="413"/>
      <c r="I1" s="413"/>
    </row>
    <row r="2" spans="1:9" ht="29.25" customHeight="1" thickBot="1">
      <c r="A2" s="530" t="s">
        <v>415</v>
      </c>
      <c r="B2" s="531"/>
      <c r="C2" s="531"/>
      <c r="D2" s="531"/>
      <c r="E2" s="531"/>
      <c r="F2" s="531"/>
      <c r="G2" s="413"/>
      <c r="H2" s="413"/>
      <c r="I2" s="413"/>
    </row>
    <row r="3" spans="1:9" ht="29.25" customHeight="1" thickBot="1">
      <c r="A3" s="443" t="s">
        <v>490</v>
      </c>
      <c r="B3" s="444" t="s">
        <v>416</v>
      </c>
      <c r="C3" s="444" t="s">
        <v>488</v>
      </c>
      <c r="D3" s="448">
        <v>88.85</v>
      </c>
      <c r="E3" s="448">
        <v>100</v>
      </c>
      <c r="F3" s="444"/>
      <c r="G3" s="413"/>
      <c r="H3" s="413"/>
      <c r="I3" s="413"/>
    </row>
    <row r="4" spans="1:9" ht="29.25" customHeight="1" thickBot="1">
      <c r="A4" s="445" t="s">
        <v>491</v>
      </c>
      <c r="B4" s="446" t="s">
        <v>416</v>
      </c>
      <c r="C4" s="446">
        <v>85</v>
      </c>
      <c r="D4" s="449">
        <v>65.239999999999995</v>
      </c>
      <c r="E4" s="449">
        <v>76.75</v>
      </c>
      <c r="F4" s="446"/>
      <c r="G4" s="413"/>
      <c r="H4" s="413"/>
      <c r="I4" s="413"/>
    </row>
    <row r="5" spans="1:9" ht="38.25" thickBot="1">
      <c r="A5" s="443" t="s">
        <v>492</v>
      </c>
      <c r="B5" s="444" t="s">
        <v>417</v>
      </c>
      <c r="C5" s="444">
        <v>3</v>
      </c>
      <c r="D5" s="448">
        <v>3</v>
      </c>
      <c r="E5" s="448">
        <v>100</v>
      </c>
      <c r="F5" s="444"/>
      <c r="G5" s="413"/>
      <c r="H5" s="413"/>
      <c r="I5" s="413"/>
    </row>
    <row r="6" spans="1:9" ht="38.25" thickBot="1">
      <c r="A6" s="445" t="s">
        <v>493</v>
      </c>
      <c r="B6" s="446" t="s">
        <v>416</v>
      </c>
      <c r="C6" s="446">
        <v>75</v>
      </c>
      <c r="D6" s="449">
        <v>89.2</v>
      </c>
      <c r="E6" s="449">
        <v>100</v>
      </c>
      <c r="F6" s="446"/>
      <c r="G6" s="413"/>
      <c r="H6" s="413"/>
      <c r="I6" s="413"/>
    </row>
    <row r="7" spans="1:9" ht="29.25" customHeight="1" thickBot="1">
      <c r="A7" s="443" t="s">
        <v>494</v>
      </c>
      <c r="B7" s="444" t="s">
        <v>416</v>
      </c>
      <c r="C7" s="444">
        <v>75</v>
      </c>
      <c r="D7" s="448">
        <v>78.66</v>
      </c>
      <c r="E7" s="448">
        <v>100</v>
      </c>
      <c r="F7" s="444"/>
      <c r="G7" s="413"/>
      <c r="H7" s="413"/>
      <c r="I7" s="413"/>
    </row>
    <row r="8" spans="1:9" ht="29.25" customHeight="1" thickBot="1">
      <c r="A8" s="445" t="s">
        <v>495</v>
      </c>
      <c r="B8" s="446" t="s">
        <v>416</v>
      </c>
      <c r="C8" s="446">
        <v>78</v>
      </c>
      <c r="D8" s="449">
        <v>68.58</v>
      </c>
      <c r="E8" s="449">
        <v>100</v>
      </c>
      <c r="F8" s="446"/>
      <c r="G8" s="413"/>
      <c r="H8" s="413"/>
      <c r="I8" s="413"/>
    </row>
    <row r="9" spans="1:9" ht="38.25" thickBot="1">
      <c r="A9" s="443" t="s">
        <v>496</v>
      </c>
      <c r="B9" s="444" t="s">
        <v>416</v>
      </c>
      <c r="C9" s="444">
        <v>78</v>
      </c>
      <c r="D9" s="448">
        <v>86.88</v>
      </c>
      <c r="E9" s="448">
        <v>100</v>
      </c>
      <c r="F9" s="444"/>
      <c r="G9" s="413"/>
      <c r="H9" s="413"/>
      <c r="I9" s="413"/>
    </row>
    <row r="10" spans="1:9" ht="29.25" customHeight="1" thickBot="1">
      <c r="A10" s="445" t="s">
        <v>497</v>
      </c>
      <c r="B10" s="446" t="s">
        <v>418</v>
      </c>
      <c r="C10" s="446">
        <v>3</v>
      </c>
      <c r="D10" s="449">
        <v>3</v>
      </c>
      <c r="E10" s="449">
        <v>100</v>
      </c>
      <c r="F10" s="446"/>
      <c r="G10" s="413"/>
      <c r="H10" s="413"/>
      <c r="I10" s="413"/>
    </row>
    <row r="11" spans="1:9" ht="29.25" customHeight="1" thickBot="1">
      <c r="A11" s="443" t="s">
        <v>498</v>
      </c>
      <c r="B11" s="444" t="s">
        <v>416</v>
      </c>
      <c r="C11" s="444">
        <v>20</v>
      </c>
      <c r="D11" s="448">
        <v>100</v>
      </c>
      <c r="E11" s="448">
        <v>100</v>
      </c>
      <c r="F11" s="444"/>
      <c r="G11" s="413"/>
      <c r="H11" s="413"/>
      <c r="I11" s="413"/>
    </row>
    <row r="12" spans="1:9" ht="38.25" thickBot="1">
      <c r="A12" s="445" t="s">
        <v>499</v>
      </c>
      <c r="B12" s="446" t="s">
        <v>416</v>
      </c>
      <c r="C12" s="446">
        <v>30</v>
      </c>
      <c r="D12" s="449">
        <v>1.71</v>
      </c>
      <c r="E12" s="449">
        <v>5.7</v>
      </c>
      <c r="F12" s="446"/>
      <c r="G12" s="413"/>
      <c r="H12" s="413"/>
      <c r="I12" s="413"/>
    </row>
    <row r="13" spans="1:9" ht="38.25" thickBot="1">
      <c r="A13" s="443" t="s">
        <v>500</v>
      </c>
      <c r="B13" s="444" t="s">
        <v>416</v>
      </c>
      <c r="C13" s="444">
        <v>80</v>
      </c>
      <c r="D13" s="448">
        <v>81.349999999999994</v>
      </c>
      <c r="E13" s="448">
        <v>100</v>
      </c>
      <c r="F13" s="444"/>
      <c r="G13" s="413"/>
      <c r="H13" s="413"/>
      <c r="I13" s="413"/>
    </row>
    <row r="14" spans="1:9" ht="29.25" customHeight="1" thickBot="1">
      <c r="A14" s="445" t="s">
        <v>501</v>
      </c>
      <c r="B14" s="446" t="s">
        <v>416</v>
      </c>
      <c r="C14" s="446">
        <v>85</v>
      </c>
      <c r="D14" s="449">
        <v>97.27</v>
      </c>
      <c r="E14" s="449">
        <v>100</v>
      </c>
      <c r="F14" s="446"/>
      <c r="G14" s="413"/>
      <c r="H14" s="413"/>
      <c r="I14" s="413"/>
    </row>
    <row r="15" spans="1:9" ht="29.25" customHeight="1" thickBot="1">
      <c r="A15" s="443" t="s">
        <v>502</v>
      </c>
      <c r="B15" s="444" t="s">
        <v>417</v>
      </c>
      <c r="C15" s="444" t="s">
        <v>547</v>
      </c>
      <c r="D15" s="448">
        <v>7106</v>
      </c>
      <c r="E15" s="448">
        <v>88.83</v>
      </c>
      <c r="F15" s="444"/>
      <c r="G15" s="413"/>
      <c r="H15" s="413"/>
      <c r="I15" s="413"/>
    </row>
    <row r="16" spans="1:9" ht="38.25" thickBot="1">
      <c r="A16" s="445" t="s">
        <v>503</v>
      </c>
      <c r="B16" s="446" t="s">
        <v>419</v>
      </c>
      <c r="C16" s="446">
        <v>46</v>
      </c>
      <c r="D16" s="449">
        <v>53</v>
      </c>
      <c r="E16" s="449">
        <v>100</v>
      </c>
      <c r="F16" s="446"/>
      <c r="G16" s="413"/>
      <c r="H16" s="413"/>
      <c r="I16" s="413"/>
    </row>
    <row r="17" spans="1:9" ht="38.25" thickBot="1">
      <c r="A17" s="443" t="s">
        <v>504</v>
      </c>
      <c r="B17" s="444" t="s">
        <v>416</v>
      </c>
      <c r="C17" s="444">
        <v>70</v>
      </c>
      <c r="D17" s="448">
        <v>25</v>
      </c>
      <c r="E17" s="448">
        <v>35.71</v>
      </c>
      <c r="F17" s="444"/>
      <c r="G17" s="413"/>
      <c r="H17" s="413"/>
      <c r="I17" s="413"/>
    </row>
    <row r="18" spans="1:9" ht="38.25" thickBot="1">
      <c r="A18" s="445" t="s">
        <v>505</v>
      </c>
      <c r="B18" s="446" t="s">
        <v>416</v>
      </c>
      <c r="C18" s="446">
        <v>10</v>
      </c>
      <c r="D18" s="449">
        <v>0</v>
      </c>
      <c r="E18" s="449">
        <v>0</v>
      </c>
      <c r="F18" s="446"/>
      <c r="G18" s="413"/>
      <c r="H18" s="413"/>
      <c r="I18" s="413"/>
    </row>
    <row r="19" spans="1:9" ht="29.25" customHeight="1" thickBot="1">
      <c r="A19" s="443" t="s">
        <v>506</v>
      </c>
      <c r="B19" s="444" t="s">
        <v>419</v>
      </c>
      <c r="C19" s="444">
        <v>2</v>
      </c>
      <c r="D19" s="448">
        <v>0</v>
      </c>
      <c r="E19" s="448">
        <v>0</v>
      </c>
      <c r="F19" s="444"/>
      <c r="G19" s="413"/>
      <c r="H19" s="413"/>
      <c r="I19" s="413"/>
    </row>
    <row r="20" spans="1:9" ht="29.25" customHeight="1" thickBot="1">
      <c r="A20" s="445" t="s">
        <v>507</v>
      </c>
      <c r="B20" s="446" t="s">
        <v>419</v>
      </c>
      <c r="C20" s="446">
        <v>3</v>
      </c>
      <c r="D20" s="449">
        <v>0</v>
      </c>
      <c r="E20" s="449">
        <v>0</v>
      </c>
      <c r="F20" s="446"/>
      <c r="G20" s="413"/>
      <c r="H20" s="413"/>
      <c r="I20" s="413"/>
    </row>
    <row r="21" spans="1:9" ht="30" customHeight="1" thickBot="1">
      <c r="A21" s="443" t="s">
        <v>508</v>
      </c>
      <c r="B21" s="444" t="s">
        <v>418</v>
      </c>
      <c r="C21" s="444">
        <v>1</v>
      </c>
      <c r="D21" s="448">
        <v>1</v>
      </c>
      <c r="E21" s="448">
        <v>100</v>
      </c>
      <c r="F21" s="444"/>
      <c r="G21" s="413"/>
      <c r="H21" s="413"/>
      <c r="I21" s="413"/>
    </row>
    <row r="22" spans="1:9" ht="38.25" thickBot="1">
      <c r="A22" s="445" t="s">
        <v>509</v>
      </c>
      <c r="B22" s="446" t="s">
        <v>416</v>
      </c>
      <c r="C22" s="446">
        <v>60</v>
      </c>
      <c r="D22" s="449" t="s">
        <v>479</v>
      </c>
      <c r="E22" s="449"/>
      <c r="F22" s="446"/>
      <c r="G22" s="413"/>
      <c r="H22" s="413"/>
      <c r="I22" s="413"/>
    </row>
    <row r="23" spans="1:9" ht="38.25" thickBot="1">
      <c r="A23" s="443" t="s">
        <v>510</v>
      </c>
      <c r="B23" s="444" t="s">
        <v>416</v>
      </c>
      <c r="C23" s="444">
        <v>80</v>
      </c>
      <c r="D23" s="448">
        <v>70.349999999999994</v>
      </c>
      <c r="E23" s="448">
        <v>89.26</v>
      </c>
      <c r="F23" s="444"/>
      <c r="G23" s="413"/>
      <c r="H23" s="413"/>
      <c r="I23" s="413"/>
    </row>
    <row r="24" spans="1:9" ht="38.25" thickBot="1">
      <c r="A24" s="445" t="s">
        <v>511</v>
      </c>
      <c r="B24" s="446" t="s">
        <v>419</v>
      </c>
      <c r="C24" s="446">
        <v>3</v>
      </c>
      <c r="D24" s="449">
        <v>14</v>
      </c>
      <c r="E24" s="449">
        <v>100</v>
      </c>
      <c r="F24" s="446"/>
      <c r="G24" s="413"/>
      <c r="H24" s="413"/>
      <c r="I24" s="413"/>
    </row>
    <row r="25" spans="1:9" ht="38.25" thickBot="1">
      <c r="A25" s="443" t="s">
        <v>512</v>
      </c>
      <c r="B25" s="444" t="s">
        <v>416</v>
      </c>
      <c r="C25" s="444">
        <v>96</v>
      </c>
      <c r="D25" s="448">
        <v>96</v>
      </c>
      <c r="E25" s="448">
        <v>100</v>
      </c>
      <c r="F25" s="444"/>
      <c r="G25" s="413"/>
      <c r="H25" s="413"/>
      <c r="I25" s="413"/>
    </row>
    <row r="26" spans="1:9" ht="29.25" customHeight="1" thickBot="1">
      <c r="A26" s="530" t="s">
        <v>93</v>
      </c>
      <c r="B26" s="531"/>
      <c r="C26" s="531"/>
      <c r="D26" s="531"/>
      <c r="E26" s="531"/>
      <c r="F26" s="531"/>
      <c r="G26" s="413"/>
      <c r="H26" s="413"/>
      <c r="I26" s="413"/>
    </row>
    <row r="27" spans="1:9" ht="38.25" thickBot="1">
      <c r="A27" s="443" t="s">
        <v>513</v>
      </c>
      <c r="B27" s="444" t="s">
        <v>420</v>
      </c>
      <c r="C27" s="444" t="s">
        <v>462</v>
      </c>
      <c r="D27" s="448">
        <v>44</v>
      </c>
      <c r="E27" s="448">
        <v>100</v>
      </c>
      <c r="F27" s="444"/>
      <c r="G27" s="413"/>
      <c r="H27" s="413"/>
      <c r="I27" s="413"/>
    </row>
    <row r="28" spans="1:9" ht="29.25" customHeight="1" thickBot="1">
      <c r="A28" s="445" t="s">
        <v>514</v>
      </c>
      <c r="B28" s="446" t="s">
        <v>416</v>
      </c>
      <c r="C28" s="446" t="s">
        <v>463</v>
      </c>
      <c r="D28" s="449">
        <v>43.13</v>
      </c>
      <c r="E28" s="449">
        <v>100</v>
      </c>
      <c r="F28" s="446"/>
      <c r="G28" s="413"/>
      <c r="H28" s="413"/>
      <c r="I28" s="413"/>
    </row>
    <row r="29" spans="1:9" ht="29.25" customHeight="1" thickBot="1">
      <c r="A29" s="443" t="s">
        <v>515</v>
      </c>
      <c r="B29" s="444" t="s">
        <v>416</v>
      </c>
      <c r="C29" s="444" t="s">
        <v>464</v>
      </c>
      <c r="D29" s="448">
        <v>36</v>
      </c>
      <c r="E29" s="448">
        <v>100</v>
      </c>
      <c r="F29" s="444"/>
      <c r="G29" s="413"/>
      <c r="H29" s="413"/>
      <c r="I29" s="413"/>
    </row>
    <row r="30" spans="1:9" ht="38.25" thickBot="1">
      <c r="A30" s="445" t="s">
        <v>516</v>
      </c>
      <c r="B30" s="446" t="s">
        <v>420</v>
      </c>
      <c r="C30" s="446" t="s">
        <v>465</v>
      </c>
      <c r="D30" s="449">
        <v>3</v>
      </c>
      <c r="E30" s="449">
        <v>100</v>
      </c>
      <c r="F30" s="446"/>
      <c r="G30" s="413"/>
      <c r="H30" s="413"/>
      <c r="I30" s="413"/>
    </row>
    <row r="31" spans="1:9" ht="29.25" customHeight="1" thickBot="1">
      <c r="A31" s="443" t="s">
        <v>517</v>
      </c>
      <c r="B31" s="444" t="s">
        <v>420</v>
      </c>
      <c r="C31" s="444">
        <v>2</v>
      </c>
      <c r="D31" s="448">
        <v>2</v>
      </c>
      <c r="E31" s="448">
        <v>100</v>
      </c>
      <c r="F31" s="444"/>
      <c r="G31" s="413"/>
      <c r="H31" s="413"/>
      <c r="I31" s="413"/>
    </row>
    <row r="32" spans="1:9" ht="38.25" thickBot="1">
      <c r="A32" s="445" t="s">
        <v>518</v>
      </c>
      <c r="B32" s="446" t="s">
        <v>421</v>
      </c>
      <c r="C32" s="446">
        <v>1</v>
      </c>
      <c r="D32" s="449" t="s">
        <v>479</v>
      </c>
      <c r="E32" s="449"/>
      <c r="F32" s="446"/>
      <c r="G32" s="413"/>
      <c r="H32" s="413"/>
      <c r="I32" s="413"/>
    </row>
    <row r="33" spans="1:9" ht="29.25" customHeight="1" thickBot="1">
      <c r="A33" s="530" t="s">
        <v>422</v>
      </c>
      <c r="B33" s="531"/>
      <c r="C33" s="531"/>
      <c r="D33" s="531"/>
      <c r="E33" s="531"/>
      <c r="F33" s="531"/>
      <c r="G33" s="413"/>
      <c r="H33" s="413"/>
      <c r="I33" s="413"/>
    </row>
    <row r="34" spans="1:9" ht="29.25" customHeight="1" thickBot="1">
      <c r="A34" s="443" t="s">
        <v>519</v>
      </c>
      <c r="B34" s="444" t="s">
        <v>423</v>
      </c>
      <c r="C34" s="444" t="s">
        <v>466</v>
      </c>
      <c r="D34" s="448">
        <v>16</v>
      </c>
      <c r="E34" s="448">
        <v>100</v>
      </c>
      <c r="F34" s="444"/>
      <c r="G34" s="413"/>
      <c r="H34" s="413"/>
      <c r="I34" s="413"/>
    </row>
    <row r="35" spans="1:9" ht="38.25" thickBot="1">
      <c r="A35" s="445" t="s">
        <v>520</v>
      </c>
      <c r="B35" s="446" t="s">
        <v>421</v>
      </c>
      <c r="C35" s="446" t="s">
        <v>466</v>
      </c>
      <c r="D35" s="449">
        <v>6</v>
      </c>
      <c r="E35" s="449">
        <v>100</v>
      </c>
      <c r="F35" s="446"/>
      <c r="G35" s="413"/>
      <c r="H35" s="413"/>
      <c r="I35" s="413"/>
    </row>
    <row r="36" spans="1:9" ht="29.25" customHeight="1" thickBot="1">
      <c r="A36" s="443" t="s">
        <v>521</v>
      </c>
      <c r="B36" s="444" t="s">
        <v>419</v>
      </c>
      <c r="C36" s="444" t="s">
        <v>467</v>
      </c>
      <c r="D36" s="448">
        <v>18</v>
      </c>
      <c r="E36" s="448">
        <v>100</v>
      </c>
      <c r="F36" s="444"/>
      <c r="G36" s="413"/>
      <c r="H36" s="413"/>
      <c r="I36" s="413"/>
    </row>
    <row r="37" spans="1:9" ht="29.25" customHeight="1" thickBot="1">
      <c r="A37" s="445" t="s">
        <v>522</v>
      </c>
      <c r="B37" s="446" t="s">
        <v>417</v>
      </c>
      <c r="C37" s="446" t="s">
        <v>468</v>
      </c>
      <c r="D37" s="449">
        <v>76</v>
      </c>
      <c r="E37" s="449">
        <v>50.67</v>
      </c>
      <c r="F37" s="446"/>
      <c r="G37" s="413"/>
      <c r="H37" s="413"/>
      <c r="I37" s="413"/>
    </row>
    <row r="38" spans="1:9" ht="38.25" thickBot="1">
      <c r="A38" s="443" t="s">
        <v>523</v>
      </c>
      <c r="B38" s="444" t="s">
        <v>420</v>
      </c>
      <c r="C38" s="444">
        <v>4</v>
      </c>
      <c r="D38" s="448">
        <v>4</v>
      </c>
      <c r="E38" s="448">
        <v>100</v>
      </c>
      <c r="F38" s="444"/>
      <c r="G38" s="413"/>
      <c r="H38" s="413"/>
      <c r="I38" s="413"/>
    </row>
    <row r="39" spans="1:9" ht="29.25" customHeight="1" thickBot="1">
      <c r="A39" s="445" t="s">
        <v>524</v>
      </c>
      <c r="B39" s="446" t="s">
        <v>416</v>
      </c>
      <c r="C39" s="446" t="s">
        <v>469</v>
      </c>
      <c r="D39" s="449">
        <v>1</v>
      </c>
      <c r="E39" s="449">
        <v>20</v>
      </c>
      <c r="F39" s="446"/>
      <c r="G39" s="413"/>
      <c r="H39" s="413"/>
      <c r="I39" s="413"/>
    </row>
    <row r="40" spans="1:9" ht="29.25" customHeight="1" thickBot="1">
      <c r="A40" s="530" t="s">
        <v>95</v>
      </c>
      <c r="B40" s="531"/>
      <c r="C40" s="531"/>
      <c r="D40" s="531"/>
      <c r="E40" s="531"/>
      <c r="F40" s="531"/>
      <c r="G40" s="413"/>
      <c r="H40" s="413"/>
      <c r="I40" s="413"/>
    </row>
    <row r="41" spans="1:9" ht="38.25" thickBot="1">
      <c r="A41" s="443" t="s">
        <v>525</v>
      </c>
      <c r="B41" s="444" t="s">
        <v>416</v>
      </c>
      <c r="C41" s="444">
        <v>70</v>
      </c>
      <c r="D41" s="448">
        <v>71.28</v>
      </c>
      <c r="E41" s="448">
        <v>100</v>
      </c>
      <c r="F41" s="444"/>
      <c r="G41" s="413"/>
      <c r="H41" s="413"/>
      <c r="I41" s="413"/>
    </row>
    <row r="42" spans="1:9" ht="28.5" customHeight="1" thickBot="1">
      <c r="A42" s="445" t="s">
        <v>526</v>
      </c>
      <c r="B42" s="446" t="s">
        <v>424</v>
      </c>
      <c r="C42" s="446">
        <v>3</v>
      </c>
      <c r="D42" s="449">
        <v>4</v>
      </c>
      <c r="E42" s="449">
        <v>100</v>
      </c>
      <c r="F42" s="446"/>
      <c r="G42" s="413"/>
      <c r="H42" s="413"/>
      <c r="I42" s="413"/>
    </row>
    <row r="43" spans="1:9" ht="38.25" thickBot="1">
      <c r="A43" s="443" t="s">
        <v>527</v>
      </c>
      <c r="B43" s="444" t="s">
        <v>417</v>
      </c>
      <c r="C43" s="450">
        <v>1000</v>
      </c>
      <c r="D43" s="448">
        <v>575</v>
      </c>
      <c r="E43" s="448">
        <v>57.5</v>
      </c>
      <c r="F43" s="444"/>
      <c r="G43" s="413"/>
      <c r="H43" s="413"/>
      <c r="I43" s="413"/>
    </row>
    <row r="44" spans="1:9" ht="38.25" thickBot="1">
      <c r="A44" s="445" t="s">
        <v>528</v>
      </c>
      <c r="B44" s="446" t="s">
        <v>425</v>
      </c>
      <c r="C44" s="446">
        <v>3</v>
      </c>
      <c r="D44" s="449">
        <v>3</v>
      </c>
      <c r="E44" s="449">
        <v>100</v>
      </c>
      <c r="F44" s="446"/>
      <c r="G44" s="413"/>
      <c r="H44" s="413"/>
      <c r="I44" s="413"/>
    </row>
    <row r="45" spans="1:9" ht="38.25" thickBot="1">
      <c r="A45" s="443" t="s">
        <v>529</v>
      </c>
      <c r="B45" s="444" t="s">
        <v>426</v>
      </c>
      <c r="C45" s="444">
        <v>1</v>
      </c>
      <c r="D45" s="448">
        <v>1</v>
      </c>
      <c r="E45" s="448">
        <v>100</v>
      </c>
      <c r="F45" s="444"/>
      <c r="G45" s="413"/>
      <c r="H45" s="413"/>
      <c r="I45" s="413"/>
    </row>
    <row r="46" spans="1:9" ht="29.25" customHeight="1" thickBot="1">
      <c r="A46" s="530" t="s">
        <v>96</v>
      </c>
      <c r="B46" s="531"/>
      <c r="C46" s="531"/>
      <c r="D46" s="531"/>
      <c r="E46" s="531"/>
      <c r="F46" s="531"/>
      <c r="G46" s="413"/>
      <c r="H46" s="413"/>
      <c r="I46" s="413"/>
    </row>
    <row r="47" spans="1:9" ht="29.25" customHeight="1" thickBot="1">
      <c r="A47" s="443" t="s">
        <v>530</v>
      </c>
      <c r="B47" s="444" t="s">
        <v>427</v>
      </c>
      <c r="C47" s="444">
        <v>4.2</v>
      </c>
      <c r="D47" s="448" t="s">
        <v>479</v>
      </c>
      <c r="E47" s="448"/>
      <c r="F47" s="444"/>
      <c r="G47" s="413"/>
      <c r="H47" s="413"/>
      <c r="I47" s="413"/>
    </row>
    <row r="48" spans="1:9" ht="29.25" customHeight="1" thickBot="1">
      <c r="A48" s="445" t="s">
        <v>531</v>
      </c>
      <c r="B48" s="446" t="s">
        <v>416</v>
      </c>
      <c r="C48" s="446">
        <v>80</v>
      </c>
      <c r="D48" s="449">
        <v>83.97</v>
      </c>
      <c r="E48" s="449">
        <v>100</v>
      </c>
      <c r="F48" s="446"/>
      <c r="G48" s="413"/>
      <c r="H48" s="413"/>
      <c r="I48" s="413"/>
    </row>
    <row r="49" spans="1:9" ht="29.25" customHeight="1" thickBot="1">
      <c r="A49" s="443" t="s">
        <v>532</v>
      </c>
      <c r="B49" s="444" t="s">
        <v>416</v>
      </c>
      <c r="C49" s="444">
        <v>30</v>
      </c>
      <c r="D49" s="448">
        <v>30.41</v>
      </c>
      <c r="E49" s="448">
        <v>100</v>
      </c>
      <c r="F49" s="444"/>
      <c r="G49" s="413"/>
      <c r="H49" s="413"/>
      <c r="I49" s="413"/>
    </row>
    <row r="50" spans="1:9" ht="29.25" customHeight="1" thickBot="1">
      <c r="A50" s="445" t="s">
        <v>533</v>
      </c>
      <c r="B50" s="446" t="s">
        <v>416</v>
      </c>
      <c r="C50" s="446" t="s">
        <v>462</v>
      </c>
      <c r="D50" s="449">
        <v>32.97</v>
      </c>
      <c r="E50" s="449">
        <v>94.2</v>
      </c>
      <c r="F50" s="446"/>
      <c r="G50" s="413"/>
      <c r="H50" s="413"/>
      <c r="I50" s="413"/>
    </row>
    <row r="51" spans="1:9" ht="29.25" customHeight="1" thickBot="1">
      <c r="A51" s="443" t="s">
        <v>534</v>
      </c>
      <c r="B51" s="444" t="s">
        <v>416</v>
      </c>
      <c r="C51" s="444" t="s">
        <v>470</v>
      </c>
      <c r="D51" s="448" t="s">
        <v>479</v>
      </c>
      <c r="E51" s="448"/>
      <c r="F51" s="444"/>
      <c r="G51" s="413"/>
      <c r="H51" s="413"/>
      <c r="I51" s="413"/>
    </row>
    <row r="52" spans="1:9" ht="38.25" thickBot="1">
      <c r="A52" s="451" t="s">
        <v>489</v>
      </c>
      <c r="B52" s="446" t="s">
        <v>416</v>
      </c>
      <c r="C52" s="446">
        <v>40</v>
      </c>
      <c r="D52" s="449">
        <v>0</v>
      </c>
      <c r="E52" s="449">
        <v>0</v>
      </c>
      <c r="F52" s="446"/>
      <c r="G52" s="413"/>
      <c r="H52" s="413"/>
      <c r="I52" s="413"/>
    </row>
    <row r="53" spans="1:9" ht="38.25" thickBot="1">
      <c r="A53" s="443" t="s">
        <v>535</v>
      </c>
      <c r="B53" s="444" t="s">
        <v>416</v>
      </c>
      <c r="C53" s="444">
        <v>15</v>
      </c>
      <c r="D53" s="448">
        <v>0</v>
      </c>
      <c r="E53" s="448">
        <v>0</v>
      </c>
      <c r="F53" s="444"/>
      <c r="G53" s="413"/>
      <c r="H53" s="413"/>
      <c r="I53" s="413"/>
    </row>
    <row r="54" spans="1:9" ht="38.25" thickBot="1">
      <c r="A54" s="445" t="s">
        <v>536</v>
      </c>
      <c r="B54" s="446" t="s">
        <v>416</v>
      </c>
      <c r="C54" s="446">
        <v>80</v>
      </c>
      <c r="D54" s="449">
        <v>0</v>
      </c>
      <c r="E54" s="449">
        <v>0</v>
      </c>
      <c r="F54" s="446"/>
      <c r="G54" s="413"/>
      <c r="H54" s="413"/>
      <c r="I54" s="413"/>
    </row>
    <row r="55" spans="1:9" ht="38.25" thickBot="1">
      <c r="A55" s="443" t="s">
        <v>537</v>
      </c>
      <c r="B55" s="444" t="s">
        <v>416</v>
      </c>
      <c r="C55" s="444">
        <v>3</v>
      </c>
      <c r="D55" s="448">
        <v>2.29</v>
      </c>
      <c r="E55" s="448">
        <v>76.33</v>
      </c>
      <c r="F55" s="444"/>
      <c r="G55" s="413"/>
      <c r="H55" s="413"/>
      <c r="I55" s="413"/>
    </row>
    <row r="56" spans="1:9" ht="38.25" thickBot="1">
      <c r="A56" s="445" t="s">
        <v>538</v>
      </c>
      <c r="B56" s="446" t="s">
        <v>416</v>
      </c>
      <c r="C56" s="446">
        <v>80</v>
      </c>
      <c r="D56" s="449">
        <v>100</v>
      </c>
      <c r="E56" s="449">
        <v>100</v>
      </c>
      <c r="F56" s="446"/>
      <c r="G56" s="413"/>
      <c r="H56" s="413"/>
      <c r="I56" s="413"/>
    </row>
    <row r="57" spans="1:9" ht="29.25" customHeight="1" thickBot="1">
      <c r="A57" s="443" t="s">
        <v>539</v>
      </c>
      <c r="B57" s="444" t="s">
        <v>416</v>
      </c>
      <c r="C57" s="444" t="s">
        <v>471</v>
      </c>
      <c r="D57" s="448">
        <v>90.67</v>
      </c>
      <c r="E57" s="448">
        <v>100</v>
      </c>
      <c r="F57" s="444"/>
      <c r="G57" s="413"/>
      <c r="H57" s="413"/>
      <c r="I57" s="413"/>
    </row>
    <row r="58" spans="1:9" ht="38.25" thickBot="1">
      <c r="A58" s="445" t="s">
        <v>540</v>
      </c>
      <c r="B58" s="446" t="s">
        <v>416</v>
      </c>
      <c r="C58" s="446" t="s">
        <v>472</v>
      </c>
      <c r="D58" s="449">
        <v>68.73</v>
      </c>
      <c r="E58" s="449">
        <v>85.91</v>
      </c>
      <c r="F58" s="446"/>
      <c r="G58" s="413"/>
      <c r="H58" s="413"/>
      <c r="I58" s="413"/>
    </row>
    <row r="59" spans="1:9" ht="38.25" thickBot="1">
      <c r="A59" s="443" t="s">
        <v>541</v>
      </c>
      <c r="B59" s="444" t="s">
        <v>427</v>
      </c>
      <c r="C59" s="444">
        <v>4.0999999999999996</v>
      </c>
      <c r="D59" s="448">
        <v>4.47</v>
      </c>
      <c r="E59" s="448">
        <v>100</v>
      </c>
      <c r="F59" s="444"/>
      <c r="G59" s="413"/>
      <c r="H59" s="413"/>
      <c r="I59" s="413"/>
    </row>
    <row r="60" spans="1:9" ht="29.25" customHeight="1" thickBot="1">
      <c r="A60" s="445" t="s">
        <v>542</v>
      </c>
      <c r="B60" s="446" t="s">
        <v>427</v>
      </c>
      <c r="C60" s="446">
        <v>4.0999999999999996</v>
      </c>
      <c r="D60" s="449">
        <v>4.47</v>
      </c>
      <c r="E60" s="449">
        <v>100</v>
      </c>
      <c r="F60" s="446"/>
      <c r="G60" s="413"/>
      <c r="H60" s="413"/>
      <c r="I60" s="413"/>
    </row>
    <row r="61" spans="1:9" ht="29.25" customHeight="1" thickBot="1">
      <c r="A61" s="530" t="s">
        <v>428</v>
      </c>
      <c r="B61" s="531"/>
      <c r="C61" s="531"/>
      <c r="D61" s="531"/>
      <c r="E61" s="531"/>
      <c r="F61" s="531"/>
      <c r="G61" s="413"/>
      <c r="H61" s="413"/>
      <c r="I61" s="413"/>
    </row>
    <row r="62" spans="1:9" ht="29.25" customHeight="1" thickBot="1">
      <c r="A62" s="443" t="s">
        <v>543</v>
      </c>
      <c r="B62" s="444" t="s">
        <v>416</v>
      </c>
      <c r="C62" s="444" t="s">
        <v>473</v>
      </c>
      <c r="D62" s="448">
        <v>85.87</v>
      </c>
      <c r="E62" s="448">
        <v>100</v>
      </c>
      <c r="F62" s="444"/>
      <c r="G62" s="413"/>
      <c r="H62" s="413"/>
      <c r="I62" s="413"/>
    </row>
    <row r="63" spans="1:9" ht="29.25" customHeight="1" thickBot="1">
      <c r="A63" s="445" t="s">
        <v>544</v>
      </c>
      <c r="B63" s="446" t="s">
        <v>429</v>
      </c>
      <c r="C63" s="446" t="s">
        <v>474</v>
      </c>
      <c r="D63" s="449">
        <v>0.28999999999999998</v>
      </c>
      <c r="E63" s="449">
        <v>18.12</v>
      </c>
      <c r="F63" s="446"/>
      <c r="G63" s="413"/>
      <c r="H63" s="413"/>
      <c r="I63" s="413"/>
    </row>
    <row r="64" spans="1:9" ht="29.25" customHeight="1">
      <c r="A64" s="453" t="s">
        <v>460</v>
      </c>
      <c r="B64" s="532"/>
      <c r="C64" s="526" t="s">
        <v>548</v>
      </c>
      <c r="D64" s="526"/>
      <c r="E64" s="526"/>
      <c r="F64" s="526"/>
      <c r="G64" s="528"/>
      <c r="H64" s="524"/>
      <c r="I64" s="525"/>
    </row>
    <row r="65" spans="1:9" ht="29.25" customHeight="1">
      <c r="A65" s="453" t="s">
        <v>461</v>
      </c>
      <c r="B65" s="524"/>
      <c r="C65" s="527"/>
      <c r="D65" s="527"/>
      <c r="E65" s="527"/>
      <c r="F65" s="527"/>
      <c r="G65" s="529"/>
      <c r="H65" s="524"/>
      <c r="I65" s="524"/>
    </row>
  </sheetData>
  <mergeCells count="11">
    <mergeCell ref="H64:H65"/>
    <mergeCell ref="I64:I65"/>
    <mergeCell ref="C64:F65"/>
    <mergeCell ref="G64:G65"/>
    <mergeCell ref="A2:F2"/>
    <mergeCell ref="A26:F26"/>
    <mergeCell ref="A33:F33"/>
    <mergeCell ref="A40:F40"/>
    <mergeCell ref="A46:F46"/>
    <mergeCell ref="A61:F61"/>
    <mergeCell ref="B64:B65"/>
  </mergeCells>
  <pageMargins left="0.70866141732283472" right="0.70866141732283472" top="0.74803149606299213" bottom="0.74803149606299213" header="0.31496062992125984" footer="0.31496062992125984"/>
  <pageSetup paperSize="9" scale="93" firstPageNumber="29" orientation="landscape" useFirstPageNumber="1" r:id="rId1"/>
  <headerFooter>
    <oddHeader>&amp;R&amp;P</oddHeader>
  </headerFooter>
  <colBreaks count="1" manualBreakCount="1">
    <brk id="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82366-2978-48FB-B2C7-07C91FFFEA5A}">
  <dimension ref="A1:I39"/>
  <sheetViews>
    <sheetView view="pageBreakPreview" zoomScaleNormal="100" zoomScaleSheetLayoutView="100" workbookViewId="0">
      <selection activeCell="C5" sqref="C5:F6"/>
    </sheetView>
  </sheetViews>
  <sheetFormatPr defaultRowHeight="29.25" customHeight="1"/>
  <cols>
    <col min="1" max="1" width="51.5" style="11" customWidth="1"/>
    <col min="2" max="3" width="16.625" style="11" customWidth="1"/>
    <col min="4" max="4" width="16.625" style="19" customWidth="1"/>
    <col min="5" max="5" width="14.375" style="19" customWidth="1"/>
    <col min="6" max="6" width="14.375" style="11" customWidth="1"/>
    <col min="7" max="16384" width="9" style="11"/>
  </cols>
  <sheetData>
    <row r="1" spans="1:9" ht="29.25" customHeight="1" thickBot="1">
      <c r="A1" s="445" t="s">
        <v>544</v>
      </c>
      <c r="B1" s="446" t="s">
        <v>429</v>
      </c>
      <c r="C1" s="446" t="s">
        <v>474</v>
      </c>
      <c r="D1" s="449">
        <v>0.28999999999999998</v>
      </c>
      <c r="E1" s="449">
        <v>18.12</v>
      </c>
      <c r="F1" s="446"/>
      <c r="G1" s="413"/>
      <c r="H1" s="413"/>
      <c r="I1" s="413"/>
    </row>
    <row r="2" spans="1:9" ht="29.25" customHeight="1">
      <c r="A2" s="453" t="s">
        <v>460</v>
      </c>
      <c r="B2" s="532"/>
      <c r="C2" s="526" t="s">
        <v>548</v>
      </c>
      <c r="D2" s="526"/>
      <c r="E2" s="526"/>
      <c r="F2" s="526"/>
      <c r="G2" s="528"/>
      <c r="H2" s="524"/>
      <c r="I2" s="525"/>
    </row>
    <row r="3" spans="1:9" ht="29.25" customHeight="1" thickBot="1">
      <c r="A3" s="453" t="s">
        <v>461</v>
      </c>
      <c r="B3" s="524"/>
      <c r="C3" s="527"/>
      <c r="D3" s="527"/>
      <c r="E3" s="527"/>
      <c r="F3" s="527"/>
      <c r="G3" s="529"/>
      <c r="H3" s="524"/>
      <c r="I3" s="524"/>
    </row>
    <row r="4" spans="1:9" ht="29.25" customHeight="1" thickBot="1">
      <c r="A4" s="445" t="s">
        <v>544</v>
      </c>
      <c r="B4" s="446" t="s">
        <v>429</v>
      </c>
      <c r="C4" s="446" t="s">
        <v>474</v>
      </c>
      <c r="D4" s="449">
        <v>0.28999999999999998</v>
      </c>
      <c r="E4" s="449">
        <v>18.12</v>
      </c>
      <c r="F4" s="446"/>
    </row>
    <row r="5" spans="1:9" ht="29.25" customHeight="1">
      <c r="A5" s="453" t="s">
        <v>460</v>
      </c>
      <c r="B5" s="532"/>
      <c r="C5" s="526" t="s">
        <v>548</v>
      </c>
      <c r="D5" s="526"/>
      <c r="E5" s="526"/>
      <c r="F5" s="526"/>
    </row>
    <row r="6" spans="1:9" ht="29.25" customHeight="1" thickBot="1">
      <c r="A6" s="453" t="s">
        <v>461</v>
      </c>
      <c r="B6" s="524"/>
      <c r="C6" s="527"/>
      <c r="D6" s="527"/>
      <c r="E6" s="527"/>
      <c r="F6" s="527"/>
    </row>
    <row r="7" spans="1:9" ht="29.25" customHeight="1" thickBot="1">
      <c r="A7" s="445" t="s">
        <v>544</v>
      </c>
      <c r="B7" s="446" t="s">
        <v>429</v>
      </c>
      <c r="C7" s="446" t="s">
        <v>474</v>
      </c>
      <c r="D7" s="449">
        <v>0.28999999999999998</v>
      </c>
      <c r="E7" s="449">
        <v>18.12</v>
      </c>
      <c r="F7" s="446"/>
    </row>
    <row r="8" spans="1:9" ht="29.25" customHeight="1">
      <c r="A8" s="453" t="s">
        <v>460</v>
      </c>
      <c r="B8" s="532"/>
      <c r="C8" s="526" t="s">
        <v>548</v>
      </c>
      <c r="D8" s="526"/>
      <c r="E8" s="526"/>
      <c r="F8" s="526"/>
    </row>
    <row r="9" spans="1:9" ht="29.25" customHeight="1" thickBot="1">
      <c r="A9" s="453" t="s">
        <v>461</v>
      </c>
      <c r="B9" s="524"/>
      <c r="C9" s="527"/>
      <c r="D9" s="527"/>
      <c r="E9" s="527"/>
      <c r="F9" s="527"/>
    </row>
    <row r="10" spans="1:9" ht="29.25" customHeight="1" thickBot="1">
      <c r="A10" s="445" t="s">
        <v>544</v>
      </c>
      <c r="B10" s="446" t="s">
        <v>429</v>
      </c>
      <c r="C10" s="446" t="s">
        <v>474</v>
      </c>
      <c r="D10" s="449">
        <v>0.28999999999999998</v>
      </c>
      <c r="E10" s="449">
        <v>18.12</v>
      </c>
      <c r="F10" s="446"/>
    </row>
    <row r="11" spans="1:9" ht="29.25" customHeight="1">
      <c r="A11" s="453" t="s">
        <v>460</v>
      </c>
      <c r="B11" s="532"/>
      <c r="C11" s="526" t="s">
        <v>548</v>
      </c>
      <c r="D11" s="526"/>
      <c r="E11" s="526"/>
      <c r="F11" s="526"/>
    </row>
    <row r="12" spans="1:9" ht="29.25" customHeight="1" thickBot="1">
      <c r="A12" s="453" t="s">
        <v>461</v>
      </c>
      <c r="B12" s="524"/>
      <c r="C12" s="527"/>
      <c r="D12" s="527"/>
      <c r="E12" s="527"/>
      <c r="F12" s="527"/>
    </row>
    <row r="13" spans="1:9" ht="29.25" customHeight="1" thickBot="1">
      <c r="A13" s="445" t="s">
        <v>544</v>
      </c>
      <c r="B13" s="446" t="s">
        <v>429</v>
      </c>
      <c r="C13" s="446" t="s">
        <v>474</v>
      </c>
      <c r="D13" s="449">
        <v>0.28999999999999998</v>
      </c>
      <c r="E13" s="449">
        <v>18.12</v>
      </c>
      <c r="F13" s="446"/>
    </row>
    <row r="14" spans="1:9" ht="29.25" customHeight="1">
      <c r="A14" s="453" t="s">
        <v>460</v>
      </c>
      <c r="B14" s="532"/>
      <c r="C14" s="526" t="s">
        <v>548</v>
      </c>
      <c r="D14" s="526"/>
      <c r="E14" s="526"/>
      <c r="F14" s="526"/>
    </row>
    <row r="15" spans="1:9" ht="29.25" customHeight="1" thickBot="1">
      <c r="A15" s="453" t="s">
        <v>461</v>
      </c>
      <c r="B15" s="524"/>
      <c r="C15" s="527"/>
      <c r="D15" s="527"/>
      <c r="E15" s="527"/>
      <c r="F15" s="527"/>
    </row>
    <row r="16" spans="1:9" ht="29.25" customHeight="1" thickBot="1">
      <c r="A16" s="445" t="s">
        <v>544</v>
      </c>
      <c r="B16" s="446" t="s">
        <v>429</v>
      </c>
      <c r="C16" s="446" t="s">
        <v>474</v>
      </c>
      <c r="D16" s="449">
        <v>0.28999999999999998</v>
      </c>
      <c r="E16" s="449">
        <v>18.12</v>
      </c>
      <c r="F16" s="446"/>
    </row>
    <row r="17" spans="1:6" ht="29.25" customHeight="1">
      <c r="A17" s="453" t="s">
        <v>460</v>
      </c>
      <c r="B17" s="532"/>
      <c r="C17" s="526" t="s">
        <v>548</v>
      </c>
      <c r="D17" s="526"/>
      <c r="E17" s="526"/>
      <c r="F17" s="526"/>
    </row>
    <row r="18" spans="1:6" ht="29.25" customHeight="1" thickBot="1">
      <c r="A18" s="453" t="s">
        <v>461</v>
      </c>
      <c r="B18" s="524"/>
      <c r="C18" s="527"/>
      <c r="D18" s="527"/>
      <c r="E18" s="527"/>
      <c r="F18" s="527"/>
    </row>
    <row r="19" spans="1:6" ht="29.25" customHeight="1" thickBot="1">
      <c r="A19" s="445" t="s">
        <v>544</v>
      </c>
      <c r="B19" s="446" t="s">
        <v>429</v>
      </c>
      <c r="C19" s="446" t="s">
        <v>474</v>
      </c>
      <c r="D19" s="449">
        <v>0.28999999999999998</v>
      </c>
      <c r="E19" s="449">
        <v>18.12</v>
      </c>
      <c r="F19" s="446"/>
    </row>
    <row r="20" spans="1:6" ht="29.25" customHeight="1">
      <c r="A20" s="453" t="s">
        <v>460</v>
      </c>
      <c r="B20" s="532"/>
      <c r="C20" s="526" t="s">
        <v>548</v>
      </c>
      <c r="D20" s="526"/>
      <c r="E20" s="526"/>
      <c r="F20" s="526"/>
    </row>
    <row r="21" spans="1:6" ht="29.25" customHeight="1" thickBot="1">
      <c r="A21" s="453" t="s">
        <v>461</v>
      </c>
      <c r="B21" s="524"/>
      <c r="C21" s="527"/>
      <c r="D21" s="527"/>
      <c r="E21" s="527"/>
      <c r="F21" s="527"/>
    </row>
    <row r="22" spans="1:6" ht="29.25" customHeight="1" thickBot="1">
      <c r="A22" s="445" t="s">
        <v>544</v>
      </c>
      <c r="B22" s="446" t="s">
        <v>429</v>
      </c>
      <c r="C22" s="446" t="s">
        <v>474</v>
      </c>
      <c r="D22" s="449">
        <v>0.28999999999999998</v>
      </c>
      <c r="E22" s="449">
        <v>18.12</v>
      </c>
      <c r="F22" s="446"/>
    </row>
    <row r="23" spans="1:6" ht="29.25" customHeight="1">
      <c r="A23" s="453" t="s">
        <v>460</v>
      </c>
      <c r="B23" s="532"/>
      <c r="C23" s="526" t="s">
        <v>548</v>
      </c>
      <c r="D23" s="526"/>
      <c r="E23" s="526"/>
      <c r="F23" s="526"/>
    </row>
    <row r="24" spans="1:6" ht="29.25" customHeight="1" thickBot="1">
      <c r="A24" s="453" t="s">
        <v>461</v>
      </c>
      <c r="B24" s="524"/>
      <c r="C24" s="527"/>
      <c r="D24" s="527"/>
      <c r="E24" s="527"/>
      <c r="F24" s="527"/>
    </row>
    <row r="25" spans="1:6" ht="29.25" customHeight="1" thickBot="1">
      <c r="A25" s="445" t="s">
        <v>544</v>
      </c>
      <c r="B25" s="446" t="s">
        <v>429</v>
      </c>
      <c r="C25" s="446" t="s">
        <v>474</v>
      </c>
      <c r="D25" s="449">
        <v>0.28999999999999998</v>
      </c>
      <c r="E25" s="449">
        <v>18.12</v>
      </c>
      <c r="F25" s="446"/>
    </row>
    <row r="26" spans="1:6" ht="29.25" customHeight="1">
      <c r="A26" s="453" t="s">
        <v>460</v>
      </c>
      <c r="B26" s="532"/>
      <c r="C26" s="526" t="s">
        <v>548</v>
      </c>
      <c r="D26" s="526"/>
      <c r="E26" s="526"/>
      <c r="F26" s="526"/>
    </row>
    <row r="27" spans="1:6" ht="29.25" customHeight="1" thickBot="1">
      <c r="A27" s="453" t="s">
        <v>461</v>
      </c>
      <c r="B27" s="524"/>
      <c r="C27" s="527"/>
      <c r="D27" s="527"/>
      <c r="E27" s="527"/>
      <c r="F27" s="527"/>
    </row>
    <row r="28" spans="1:6" ht="29.25" customHeight="1" thickBot="1">
      <c r="A28" s="445" t="s">
        <v>544</v>
      </c>
      <c r="B28" s="446" t="s">
        <v>429</v>
      </c>
      <c r="C28" s="446" t="s">
        <v>474</v>
      </c>
      <c r="D28" s="449">
        <v>0.28999999999999998</v>
      </c>
      <c r="E28" s="449">
        <v>18.12</v>
      </c>
      <c r="F28" s="446"/>
    </row>
    <row r="29" spans="1:6" ht="29.25" customHeight="1">
      <c r="A29" s="453" t="s">
        <v>460</v>
      </c>
      <c r="B29" s="532"/>
      <c r="C29" s="526" t="s">
        <v>548</v>
      </c>
      <c r="D29" s="526"/>
      <c r="E29" s="526"/>
      <c r="F29" s="526"/>
    </row>
    <row r="30" spans="1:6" ht="29.25" customHeight="1" thickBot="1">
      <c r="A30" s="453" t="s">
        <v>461</v>
      </c>
      <c r="B30" s="524"/>
      <c r="C30" s="527"/>
      <c r="D30" s="527"/>
      <c r="E30" s="527"/>
      <c r="F30" s="527"/>
    </row>
    <row r="31" spans="1:6" ht="29.25" customHeight="1" thickBot="1">
      <c r="A31" s="445" t="s">
        <v>544</v>
      </c>
      <c r="B31" s="446" t="s">
        <v>429</v>
      </c>
      <c r="C31" s="446" t="s">
        <v>474</v>
      </c>
      <c r="D31" s="449">
        <v>0.28999999999999998</v>
      </c>
      <c r="E31" s="449">
        <v>18.12</v>
      </c>
      <c r="F31" s="446"/>
    </row>
    <row r="32" spans="1:6" ht="29.25" customHeight="1">
      <c r="A32" s="453" t="s">
        <v>460</v>
      </c>
      <c r="B32" s="532"/>
      <c r="C32" s="526" t="s">
        <v>548</v>
      </c>
      <c r="D32" s="526"/>
      <c r="E32" s="526"/>
      <c r="F32" s="526"/>
    </row>
    <row r="33" spans="1:6" ht="29.25" customHeight="1" thickBot="1">
      <c r="A33" s="453" t="s">
        <v>461</v>
      </c>
      <c r="B33" s="524"/>
      <c r="C33" s="527"/>
      <c r="D33" s="527"/>
      <c r="E33" s="527"/>
      <c r="F33" s="527"/>
    </row>
    <row r="34" spans="1:6" ht="29.25" customHeight="1" thickBot="1">
      <c r="A34" s="445" t="s">
        <v>544</v>
      </c>
      <c r="B34" s="446" t="s">
        <v>429</v>
      </c>
      <c r="C34" s="446" t="s">
        <v>474</v>
      </c>
      <c r="D34" s="449">
        <v>0.28999999999999998</v>
      </c>
      <c r="E34" s="449">
        <v>18.12</v>
      </c>
      <c r="F34" s="446"/>
    </row>
    <row r="35" spans="1:6" ht="29.25" customHeight="1">
      <c r="A35" s="453" t="s">
        <v>460</v>
      </c>
      <c r="B35" s="532"/>
      <c r="C35" s="526" t="s">
        <v>548</v>
      </c>
      <c r="D35" s="526"/>
      <c r="E35" s="526"/>
      <c r="F35" s="526"/>
    </row>
    <row r="36" spans="1:6" ht="29.25" customHeight="1" thickBot="1">
      <c r="A36" s="453" t="s">
        <v>461</v>
      </c>
      <c r="B36" s="524"/>
      <c r="C36" s="527"/>
      <c r="D36" s="527"/>
      <c r="E36" s="527"/>
      <c r="F36" s="527"/>
    </row>
    <row r="37" spans="1:6" ht="29.25" customHeight="1" thickBot="1">
      <c r="A37" s="445" t="s">
        <v>544</v>
      </c>
      <c r="B37" s="446" t="s">
        <v>429</v>
      </c>
      <c r="C37" s="446" t="s">
        <v>474</v>
      </c>
      <c r="D37" s="449">
        <v>0.28999999999999998</v>
      </c>
      <c r="E37" s="449">
        <v>18.12</v>
      </c>
      <c r="F37" s="446"/>
    </row>
    <row r="38" spans="1:6" ht="29.25" customHeight="1">
      <c r="A38" s="453" t="s">
        <v>460</v>
      </c>
      <c r="B38" s="532"/>
      <c r="C38" s="526" t="s">
        <v>548</v>
      </c>
      <c r="D38" s="526"/>
      <c r="E38" s="526"/>
      <c r="F38" s="526"/>
    </row>
    <row r="39" spans="1:6" ht="29.25" customHeight="1">
      <c r="A39" s="453" t="s">
        <v>461</v>
      </c>
      <c r="B39" s="524"/>
      <c r="C39" s="527"/>
      <c r="D39" s="527"/>
      <c r="E39" s="527"/>
      <c r="F39" s="527"/>
    </row>
  </sheetData>
  <mergeCells count="29">
    <mergeCell ref="B5:B6"/>
    <mergeCell ref="C5:F6"/>
    <mergeCell ref="B8:B9"/>
    <mergeCell ref="C8:F9"/>
    <mergeCell ref="B11:B12"/>
    <mergeCell ref="C11:F12"/>
    <mergeCell ref="B2:B3"/>
    <mergeCell ref="C2:F3"/>
    <mergeCell ref="G2:G3"/>
    <mergeCell ref="H2:H3"/>
    <mergeCell ref="I2:I3"/>
    <mergeCell ref="B14:B15"/>
    <mergeCell ref="C14:F15"/>
    <mergeCell ref="B17:B18"/>
    <mergeCell ref="C17:F18"/>
    <mergeCell ref="B20:B21"/>
    <mergeCell ref="C20:F21"/>
    <mergeCell ref="B23:B24"/>
    <mergeCell ref="C23:F24"/>
    <mergeCell ref="B26:B27"/>
    <mergeCell ref="C26:F27"/>
    <mergeCell ref="B29:B30"/>
    <mergeCell ref="C29:F30"/>
    <mergeCell ref="B32:B33"/>
    <mergeCell ref="C32:F33"/>
    <mergeCell ref="B35:B36"/>
    <mergeCell ref="C35:F36"/>
    <mergeCell ref="B38:B39"/>
    <mergeCell ref="C38:F39"/>
  </mergeCells>
  <pageMargins left="0.70866141732283472" right="0.70866141732283472" top="0.74803149606299213" bottom="0.74803149606299213" header="0.31496062992125984" footer="0.31496062992125984"/>
  <pageSetup paperSize="9" scale="93" firstPageNumber="29" orientation="landscape" useFirstPageNumber="1" r:id="rId1"/>
  <headerFooter>
    <oddHeader>&amp;R&amp;P</oddHeader>
  </headerFooter>
  <colBreaks count="1" manualBreakCount="1">
    <brk id="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7"/>
  <sheetViews>
    <sheetView workbookViewId="0">
      <selection sqref="A1:E5"/>
    </sheetView>
  </sheetViews>
  <sheetFormatPr defaultRowHeight="14.25"/>
  <cols>
    <col min="3" max="3" width="11.625" bestFit="1" customWidth="1"/>
    <col min="4" max="4" width="10.75" bestFit="1" customWidth="1"/>
    <col min="5" max="5" width="11.375" customWidth="1"/>
    <col min="12" max="12" width="14.75" customWidth="1"/>
    <col min="15" max="15" width="9" customWidth="1"/>
  </cols>
  <sheetData>
    <row r="1" spans="1:22">
      <c r="B1" t="s">
        <v>6</v>
      </c>
      <c r="C1" t="s">
        <v>7</v>
      </c>
      <c r="D1" t="s">
        <v>8</v>
      </c>
      <c r="E1" t="s">
        <v>9</v>
      </c>
    </row>
    <row r="2" spans="1:22" ht="19.5">
      <c r="A2" t="s">
        <v>75</v>
      </c>
      <c r="B2" s="156">
        <f>'S2'!$F$14</f>
        <v>19.265043503637681</v>
      </c>
      <c r="C2" s="156">
        <f>'S2'!$L$14</f>
        <v>92.78517364770255</v>
      </c>
      <c r="E2" s="156"/>
      <c r="J2" s="101" t="e">
        <f>SUM(I2/G2*100)</f>
        <v>#DIV/0!</v>
      </c>
      <c r="K2" s="30"/>
      <c r="L2" s="30"/>
      <c r="M2" s="30"/>
      <c r="N2" s="30"/>
    </row>
    <row r="3" spans="1:22" ht="18.75" customHeight="1">
      <c r="A3" t="s">
        <v>76</v>
      </c>
      <c r="B3" s="156">
        <f>'S2'!$F$15</f>
        <v>14.975682824956484</v>
      </c>
      <c r="C3" s="156">
        <f>'S2'!$L$15</f>
        <v>78.038103519236117</v>
      </c>
      <c r="E3" s="156"/>
      <c r="J3" s="109" t="e">
        <f>SUM(I3/G3*100)</f>
        <v>#DIV/0!</v>
      </c>
      <c r="K3" s="31"/>
      <c r="L3" s="31"/>
      <c r="M3" s="31"/>
      <c r="N3" s="31"/>
    </row>
    <row r="4" spans="1:22" ht="19.5">
      <c r="A4" t="s">
        <v>4</v>
      </c>
      <c r="B4" s="156">
        <f>'S2'!$F$14</f>
        <v>19.265043503637681</v>
      </c>
      <c r="C4" s="156">
        <f>'S2'!$L$16</f>
        <v>90.04646985775328</v>
      </c>
      <c r="E4" s="156"/>
      <c r="J4" s="15">
        <v>23</v>
      </c>
      <c r="K4" s="31"/>
      <c r="L4" s="31"/>
      <c r="M4" s="31"/>
      <c r="N4" s="31"/>
    </row>
    <row r="5" spans="1:22">
      <c r="A5" t="s">
        <v>83</v>
      </c>
      <c r="B5" s="15">
        <v>32</v>
      </c>
      <c r="C5" s="15">
        <v>54</v>
      </c>
      <c r="D5" s="15">
        <v>77</v>
      </c>
      <c r="E5" s="15">
        <v>100</v>
      </c>
    </row>
    <row r="11" spans="1:22" ht="19.5">
      <c r="K11" s="32"/>
      <c r="L11" s="33"/>
      <c r="M11" s="33"/>
      <c r="N11" s="35"/>
      <c r="O11" s="33"/>
      <c r="P11" s="36"/>
      <c r="Q11" s="33"/>
      <c r="R11" s="36"/>
      <c r="S11" s="33"/>
      <c r="T11" s="36"/>
      <c r="U11" s="33"/>
      <c r="V11" s="36"/>
    </row>
    <row r="12" spans="1:22" ht="19.5">
      <c r="K12" s="32"/>
      <c r="L12" s="33"/>
      <c r="M12" s="33"/>
      <c r="N12" s="35"/>
      <c r="O12" s="37"/>
      <c r="P12" s="38"/>
      <c r="Q12" s="37"/>
      <c r="R12" s="38"/>
      <c r="S12" s="37"/>
      <c r="T12" s="38"/>
      <c r="U12" s="37"/>
      <c r="V12" s="38"/>
    </row>
    <row r="13" spans="1:22" ht="19.5">
      <c r="K13" s="39"/>
      <c r="L13" s="40"/>
      <c r="M13" s="41"/>
      <c r="N13" s="42"/>
      <c r="O13" s="40"/>
      <c r="P13" s="43"/>
      <c r="Q13" s="40"/>
      <c r="R13" s="43"/>
      <c r="S13" s="40"/>
      <c r="T13" s="43"/>
      <c r="U13" s="40"/>
      <c r="V13" s="43"/>
    </row>
    <row r="17" ht="19.5" customHeight="1"/>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1"/>
  <sheetViews>
    <sheetView workbookViewId="0">
      <selection activeCell="H10" sqref="H10"/>
    </sheetView>
  </sheetViews>
  <sheetFormatPr defaultRowHeight="14.25"/>
  <cols>
    <col min="1" max="1" width="35" style="427" bestFit="1" customWidth="1"/>
    <col min="2" max="3" width="15.625" style="427" bestFit="1" customWidth="1"/>
    <col min="4" max="7" width="14.375" style="427" bestFit="1" customWidth="1"/>
    <col min="8" max="8" width="15.625" style="427" bestFit="1" customWidth="1"/>
    <col min="9" max="9" width="7.375" style="427" bestFit="1" customWidth="1"/>
    <col min="10" max="10" width="7.875" style="427" bestFit="1" customWidth="1"/>
    <col min="11" max="16384" width="9" style="427"/>
  </cols>
  <sheetData>
    <row r="1" spans="1:10">
      <c r="A1" s="427" t="s">
        <v>22</v>
      </c>
      <c r="B1" s="428">
        <v>10749900</v>
      </c>
      <c r="C1" s="428">
        <v>11301284</v>
      </c>
      <c r="D1" s="428">
        <v>3323801.99</v>
      </c>
      <c r="E1" s="428">
        <v>2150879.6</v>
      </c>
      <c r="F1" s="428">
        <v>2991244.61</v>
      </c>
      <c r="G1" s="428">
        <v>2794399.13</v>
      </c>
      <c r="H1" s="428">
        <v>11260325.33</v>
      </c>
      <c r="I1" s="427">
        <v>99.64</v>
      </c>
      <c r="J1" s="427" t="s">
        <v>484</v>
      </c>
    </row>
    <row r="2" spans="1:10">
      <c r="A2" s="427" t="s">
        <v>19</v>
      </c>
      <c r="B2" s="428">
        <v>14928200</v>
      </c>
      <c r="C2" s="428">
        <v>14105489.689999999</v>
      </c>
      <c r="D2" s="428">
        <v>1571028.9</v>
      </c>
      <c r="E2" s="428">
        <v>2319923.48</v>
      </c>
      <c r="F2" s="428">
        <v>5735931.2800000003</v>
      </c>
      <c r="G2" s="428">
        <v>4362136.03</v>
      </c>
      <c r="H2" s="428">
        <v>13989019.689999999</v>
      </c>
      <c r="I2" s="427">
        <v>99.17</v>
      </c>
      <c r="J2" s="427" t="s">
        <v>484</v>
      </c>
    </row>
    <row r="3" spans="1:10">
      <c r="A3" s="427" t="s">
        <v>23</v>
      </c>
      <c r="B3" s="428">
        <v>11409500</v>
      </c>
      <c r="C3" s="428">
        <v>9000812.25</v>
      </c>
      <c r="D3" s="428">
        <v>1425520.75</v>
      </c>
      <c r="E3" s="428">
        <v>2108279.6</v>
      </c>
      <c r="F3" s="428">
        <v>2532741.5</v>
      </c>
      <c r="G3" s="428">
        <v>2828028.6</v>
      </c>
      <c r="H3" s="428">
        <v>8894570.4499999993</v>
      </c>
      <c r="I3" s="427">
        <v>98.82</v>
      </c>
      <c r="J3" s="427" t="s">
        <v>484</v>
      </c>
    </row>
    <row r="4" spans="1:10">
      <c r="A4" s="427" t="s">
        <v>27</v>
      </c>
      <c r="B4" s="428">
        <v>1900700</v>
      </c>
      <c r="C4" s="428">
        <v>1791844</v>
      </c>
      <c r="D4" s="428">
        <v>317090</v>
      </c>
      <c r="E4" s="428">
        <v>221437</v>
      </c>
      <c r="F4" s="428">
        <v>604998</v>
      </c>
      <c r="G4" s="428">
        <v>626735</v>
      </c>
      <c r="H4" s="428">
        <v>1770260</v>
      </c>
      <c r="I4" s="427">
        <v>98.8</v>
      </c>
      <c r="J4" s="427" t="s">
        <v>484</v>
      </c>
    </row>
    <row r="5" spans="1:10">
      <c r="A5" s="427" t="s">
        <v>25</v>
      </c>
      <c r="B5" s="428">
        <v>7124400</v>
      </c>
      <c r="C5" s="428">
        <v>6906974.1399999997</v>
      </c>
      <c r="D5" s="428">
        <v>599255.28</v>
      </c>
      <c r="E5" s="428">
        <v>2862318.46</v>
      </c>
      <c r="F5" s="428">
        <v>1378074.71</v>
      </c>
      <c r="G5" s="428">
        <v>1968223.74</v>
      </c>
      <c r="H5" s="428">
        <v>6807872.1900000004</v>
      </c>
      <c r="I5" s="427">
        <v>98.57</v>
      </c>
      <c r="J5" s="427" t="s">
        <v>484</v>
      </c>
    </row>
    <row r="6" spans="1:10">
      <c r="A6" s="427" t="s">
        <v>21</v>
      </c>
      <c r="B6" s="428">
        <v>15424400</v>
      </c>
      <c r="C6" s="428">
        <v>12692538.4</v>
      </c>
      <c r="D6" s="428">
        <v>3246303.74</v>
      </c>
      <c r="E6" s="428">
        <v>3458321.03</v>
      </c>
      <c r="F6" s="428">
        <v>3037715.96</v>
      </c>
      <c r="G6" s="428">
        <v>2382246.62</v>
      </c>
      <c r="H6" s="428">
        <v>12124587.35</v>
      </c>
      <c r="I6" s="427">
        <v>95.53</v>
      </c>
      <c r="J6" s="427" t="s">
        <v>484</v>
      </c>
    </row>
    <row r="7" spans="1:10">
      <c r="A7" s="427" t="s">
        <v>35</v>
      </c>
      <c r="B7" s="428">
        <v>3201600</v>
      </c>
      <c r="C7" s="428">
        <v>3272597.74</v>
      </c>
      <c r="D7" s="428">
        <v>1071605.1200000001</v>
      </c>
      <c r="E7" s="428">
        <v>673256.3</v>
      </c>
      <c r="F7" s="428">
        <v>716947.91</v>
      </c>
      <c r="G7" s="428">
        <v>637556.94999999995</v>
      </c>
      <c r="H7" s="428">
        <v>3099366.28</v>
      </c>
      <c r="I7" s="427">
        <v>94.71</v>
      </c>
      <c r="J7" s="427" t="s">
        <v>484</v>
      </c>
    </row>
    <row r="8" spans="1:10">
      <c r="A8" s="427" t="s">
        <v>20</v>
      </c>
      <c r="B8" s="428">
        <v>14614100</v>
      </c>
      <c r="C8" s="428">
        <v>14670844.68</v>
      </c>
      <c r="D8" s="428">
        <v>3676219.15</v>
      </c>
      <c r="E8" s="428">
        <v>2301702.1</v>
      </c>
      <c r="F8" s="428">
        <v>4192183.16</v>
      </c>
      <c r="G8" s="428">
        <v>3468147.69</v>
      </c>
      <c r="H8" s="428">
        <v>13638252.1</v>
      </c>
      <c r="I8" s="427">
        <v>92.96</v>
      </c>
      <c r="J8" s="427" t="s">
        <v>484</v>
      </c>
    </row>
    <row r="9" spans="1:10">
      <c r="A9" s="427" t="s">
        <v>26</v>
      </c>
      <c r="B9" s="428">
        <v>2583100</v>
      </c>
      <c r="C9" s="428">
        <v>2677611.9</v>
      </c>
      <c r="D9" s="428">
        <v>67421.929999999993</v>
      </c>
      <c r="E9" s="428">
        <v>1073337.79</v>
      </c>
      <c r="F9" s="428">
        <v>457147.72</v>
      </c>
      <c r="G9" s="428">
        <v>865074.26</v>
      </c>
      <c r="H9" s="428">
        <v>2462981.7000000002</v>
      </c>
      <c r="I9" s="427">
        <v>91.98</v>
      </c>
      <c r="J9" s="427" t="s">
        <v>484</v>
      </c>
    </row>
    <row r="10" spans="1:10">
      <c r="A10" s="427" t="s">
        <v>88</v>
      </c>
      <c r="B10" s="428">
        <v>431934700</v>
      </c>
      <c r="C10" s="428">
        <v>477159834.43000001</v>
      </c>
      <c r="D10" s="428">
        <v>88000695.439999998</v>
      </c>
      <c r="E10" s="428">
        <v>103414037.15000001</v>
      </c>
      <c r="F10" s="428">
        <v>128142552.90000001</v>
      </c>
      <c r="G10" s="428">
        <v>111567014.59999999</v>
      </c>
      <c r="H10" s="428">
        <v>431124300.08999997</v>
      </c>
      <c r="I10" s="427">
        <v>90.35</v>
      </c>
      <c r="J10" s="427" t="s">
        <v>484</v>
      </c>
    </row>
    <row r="11" spans="1:10">
      <c r="A11" s="427" t="s">
        <v>4</v>
      </c>
      <c r="B11" s="428">
        <v>552831740</v>
      </c>
      <c r="C11" s="428">
        <v>598600377.63999999</v>
      </c>
      <c r="D11" s="428">
        <v>110552264.98999999</v>
      </c>
      <c r="E11" s="428">
        <v>128216824.62</v>
      </c>
      <c r="F11" s="428">
        <v>159601415.91</v>
      </c>
      <c r="G11" s="428">
        <v>140648003.09999999</v>
      </c>
      <c r="H11" s="428">
        <v>539018508.62</v>
      </c>
      <c r="I11" s="427">
        <v>90.05</v>
      </c>
    </row>
    <row r="12" spans="1:10">
      <c r="A12" s="427" t="s">
        <v>89</v>
      </c>
      <c r="B12" s="428">
        <v>450000</v>
      </c>
      <c r="C12" s="428">
        <v>450000</v>
      </c>
      <c r="D12" s="428">
        <v>77700</v>
      </c>
      <c r="E12" s="428">
        <v>128508</v>
      </c>
      <c r="F12" s="428">
        <v>0</v>
      </c>
      <c r="G12" s="428">
        <v>197055</v>
      </c>
      <c r="H12" s="428">
        <v>403263</v>
      </c>
      <c r="I12" s="427">
        <v>89.61</v>
      </c>
      <c r="J12" s="427" t="s">
        <v>484</v>
      </c>
    </row>
    <row r="13" spans="1:10">
      <c r="A13" s="427" t="s">
        <v>32</v>
      </c>
      <c r="B13" s="428">
        <v>1460000</v>
      </c>
      <c r="C13" s="428">
        <v>1500449</v>
      </c>
      <c r="D13" s="428">
        <v>169614.1</v>
      </c>
      <c r="E13" s="428">
        <v>75949.399999999994</v>
      </c>
      <c r="F13" s="428">
        <v>597362.9</v>
      </c>
      <c r="G13" s="428">
        <v>462385.95</v>
      </c>
      <c r="H13" s="428">
        <v>1305312.3500000001</v>
      </c>
      <c r="I13" s="427">
        <v>86.99</v>
      </c>
      <c r="J13" s="427" t="s">
        <v>484</v>
      </c>
    </row>
    <row r="14" spans="1:10">
      <c r="A14" s="427" t="s">
        <v>24</v>
      </c>
      <c r="B14" s="428">
        <v>6769200</v>
      </c>
      <c r="C14" s="428">
        <v>5583011.4100000001</v>
      </c>
      <c r="D14" s="428">
        <v>1273038.07</v>
      </c>
      <c r="E14" s="428">
        <v>750834.36</v>
      </c>
      <c r="F14" s="428">
        <v>1513254.23</v>
      </c>
      <c r="G14" s="428">
        <v>1203225.46</v>
      </c>
      <c r="H14" s="428">
        <v>4740352.12</v>
      </c>
      <c r="I14" s="427">
        <v>84.91</v>
      </c>
      <c r="J14" s="427" t="s">
        <v>484</v>
      </c>
    </row>
    <row r="15" spans="1:10">
      <c r="A15" s="427" t="s">
        <v>31</v>
      </c>
      <c r="B15" s="428">
        <v>9528640</v>
      </c>
      <c r="C15" s="428">
        <v>15584366.5</v>
      </c>
      <c r="D15" s="428">
        <v>1915820.57</v>
      </c>
      <c r="E15" s="428">
        <v>3785850.15</v>
      </c>
      <c r="F15" s="428">
        <v>3959174.98</v>
      </c>
      <c r="G15" s="428">
        <v>3391096.93</v>
      </c>
      <c r="H15" s="428">
        <v>13051942.630000001</v>
      </c>
      <c r="I15" s="427">
        <v>83.75</v>
      </c>
      <c r="J15" s="427" t="s">
        <v>484</v>
      </c>
    </row>
    <row r="16" spans="1:10">
      <c r="A16" s="427" t="s">
        <v>30</v>
      </c>
      <c r="B16" s="428">
        <v>3352800</v>
      </c>
      <c r="C16" s="428">
        <v>3152102.5</v>
      </c>
      <c r="D16" s="428">
        <v>491906.2</v>
      </c>
      <c r="E16" s="428">
        <v>807169.5</v>
      </c>
      <c r="F16" s="428">
        <v>497929.6</v>
      </c>
      <c r="G16" s="428">
        <v>644328</v>
      </c>
      <c r="H16" s="428">
        <v>2441333.2999999998</v>
      </c>
      <c r="I16" s="427">
        <v>77.45</v>
      </c>
      <c r="J16" s="427" t="s">
        <v>484</v>
      </c>
    </row>
    <row r="17" spans="1:10">
      <c r="A17" s="427" t="s">
        <v>33</v>
      </c>
      <c r="B17" s="428">
        <v>3927800</v>
      </c>
      <c r="C17" s="428">
        <v>3945800</v>
      </c>
      <c r="D17" s="428">
        <v>123430</v>
      </c>
      <c r="E17" s="428">
        <v>532727.1</v>
      </c>
      <c r="F17" s="428">
        <v>625250.9</v>
      </c>
      <c r="G17" s="428">
        <v>1603919.55</v>
      </c>
      <c r="H17" s="428">
        <v>2885327.55</v>
      </c>
      <c r="I17" s="427">
        <v>73.12</v>
      </c>
      <c r="J17" s="427" t="s">
        <v>484</v>
      </c>
    </row>
    <row r="18" spans="1:10">
      <c r="A18" s="427" t="s">
        <v>29</v>
      </c>
      <c r="B18" s="428">
        <v>135000</v>
      </c>
      <c r="C18" s="428">
        <v>133100</v>
      </c>
      <c r="D18" s="428">
        <v>4963</v>
      </c>
      <c r="E18" s="428">
        <v>3300</v>
      </c>
      <c r="F18" s="428">
        <v>65799</v>
      </c>
      <c r="G18" s="428">
        <v>21338</v>
      </c>
      <c r="H18" s="428">
        <v>95400</v>
      </c>
      <c r="I18" s="427">
        <v>71.680000000000007</v>
      </c>
      <c r="J18" s="427" t="s">
        <v>484</v>
      </c>
    </row>
    <row r="19" spans="1:10">
      <c r="A19" s="427" t="s">
        <v>34</v>
      </c>
      <c r="B19" s="428">
        <v>12068000</v>
      </c>
      <c r="C19" s="428">
        <v>11165057</v>
      </c>
      <c r="D19" s="428">
        <v>3069586.25</v>
      </c>
      <c r="E19" s="428">
        <v>1247852.1000000001</v>
      </c>
      <c r="F19" s="428">
        <v>2028862.55</v>
      </c>
      <c r="G19" s="428">
        <v>1179176.1399999999</v>
      </c>
      <c r="H19" s="428">
        <v>7525477.04</v>
      </c>
      <c r="I19" s="427">
        <v>67.400000000000006</v>
      </c>
      <c r="J19" s="427" t="s">
        <v>484</v>
      </c>
    </row>
    <row r="20" spans="1:10">
      <c r="A20" s="427" t="s">
        <v>28</v>
      </c>
      <c r="B20" s="428">
        <v>90000</v>
      </c>
      <c r="C20" s="428">
        <v>90000</v>
      </c>
      <c r="D20" s="428">
        <v>6085</v>
      </c>
      <c r="E20" s="428">
        <v>2500</v>
      </c>
      <c r="F20" s="428">
        <v>0</v>
      </c>
      <c r="G20" s="428">
        <v>50534</v>
      </c>
      <c r="H20" s="428">
        <v>59119</v>
      </c>
      <c r="I20" s="427">
        <v>65.69</v>
      </c>
      <c r="J20" s="427" t="s">
        <v>484</v>
      </c>
    </row>
    <row r="21" spans="1:10">
      <c r="A21" s="427" t="s">
        <v>276</v>
      </c>
      <c r="B21" s="428">
        <v>1179700</v>
      </c>
      <c r="C21" s="428">
        <v>3416660</v>
      </c>
      <c r="D21" s="428">
        <v>121179.5</v>
      </c>
      <c r="E21" s="428">
        <v>298641.5</v>
      </c>
      <c r="F21" s="428">
        <v>524244</v>
      </c>
      <c r="G21" s="428">
        <v>395381.45</v>
      </c>
      <c r="H21" s="428">
        <v>1339446.45</v>
      </c>
      <c r="I21" s="427">
        <v>39.200000000000003</v>
      </c>
      <c r="J21" s="427" t="s">
        <v>484</v>
      </c>
    </row>
  </sheetData>
  <sortState xmlns:xlrd2="http://schemas.microsoft.com/office/spreadsheetml/2017/richdata2" ref="A1:J22">
    <sortCondition descending="1" ref="I1:I2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22"/>
  <sheetViews>
    <sheetView zoomScale="110" zoomScaleNormal="110" workbookViewId="0">
      <pane xSplit="1" ySplit="3" topLeftCell="L79" activePane="bottomRight" state="frozen"/>
      <selection pane="topRight" activeCell="B1" sqref="B1"/>
      <selection pane="bottomLeft" activeCell="A4" sqref="A4"/>
      <selection pane="bottomRight" activeCell="O74" sqref="O74"/>
    </sheetView>
  </sheetViews>
  <sheetFormatPr defaultRowHeight="14.25"/>
  <cols>
    <col min="1" max="1" width="49.25" style="350" bestFit="1" customWidth="1"/>
    <col min="2" max="2" width="9.5" bestFit="1" customWidth="1"/>
    <col min="3" max="4" width="9.125" bestFit="1" customWidth="1"/>
    <col min="5" max="5" width="9.5" bestFit="1" customWidth="1"/>
    <col min="6" max="6" width="13" bestFit="1" customWidth="1"/>
    <col min="7" max="8" width="10.25" bestFit="1" customWidth="1"/>
    <col min="9" max="9" width="13" bestFit="1" customWidth="1"/>
    <col min="10" max="10" width="10.25" style="417" bestFit="1" customWidth="1"/>
    <col min="11" max="11" width="9.5" bestFit="1" customWidth="1"/>
    <col min="12" max="13" width="9.125" bestFit="1" customWidth="1"/>
    <col min="14" max="14" width="9.5" bestFit="1" customWidth="1"/>
    <col min="15" max="15" width="13" bestFit="1" customWidth="1"/>
    <col min="16" max="16" width="9.5" bestFit="1" customWidth="1"/>
    <col min="17" max="17" width="10.25" bestFit="1" customWidth="1"/>
    <col min="18" max="18" width="13" bestFit="1" customWidth="1"/>
    <col min="19" max="19" width="10.25" style="417" bestFit="1" customWidth="1"/>
    <col min="20" max="20" width="9.125" bestFit="1" customWidth="1"/>
    <col min="257" max="257" width="26" customWidth="1"/>
    <col min="513" max="513" width="26" customWidth="1"/>
    <col min="769" max="769" width="26" customWidth="1"/>
    <col min="1025" max="1025" width="26" customWidth="1"/>
    <col min="1281" max="1281" width="26" customWidth="1"/>
    <col min="1537" max="1537" width="26" customWidth="1"/>
    <col min="1793" max="1793" width="26" customWidth="1"/>
    <col min="2049" max="2049" width="26" customWidth="1"/>
    <col min="2305" max="2305" width="26" customWidth="1"/>
    <col min="2561" max="2561" width="26" customWidth="1"/>
    <col min="2817" max="2817" width="26" customWidth="1"/>
    <col min="3073" max="3073" width="26" customWidth="1"/>
    <col min="3329" max="3329" width="26" customWidth="1"/>
    <col min="3585" max="3585" width="26" customWidth="1"/>
    <col min="3841" max="3841" width="26" customWidth="1"/>
    <col min="4097" max="4097" width="26" customWidth="1"/>
    <col min="4353" max="4353" width="26" customWidth="1"/>
    <col min="4609" max="4609" width="26" customWidth="1"/>
    <col min="4865" max="4865" width="26" customWidth="1"/>
    <col min="5121" max="5121" width="26" customWidth="1"/>
    <col min="5377" max="5377" width="26" customWidth="1"/>
    <col min="5633" max="5633" width="26" customWidth="1"/>
    <col min="5889" max="5889" width="26" customWidth="1"/>
    <col min="6145" max="6145" width="26" customWidth="1"/>
    <col min="6401" max="6401" width="26" customWidth="1"/>
    <col min="6657" max="6657" width="26" customWidth="1"/>
    <col min="6913" max="6913" width="26" customWidth="1"/>
    <col min="7169" max="7169" width="26" customWidth="1"/>
    <col min="7425" max="7425" width="26" customWidth="1"/>
    <col min="7681" max="7681" width="26" customWidth="1"/>
    <col min="7937" max="7937" width="26" customWidth="1"/>
    <col min="8193" max="8193" width="26" customWidth="1"/>
    <col min="8449" max="8449" width="26" customWidth="1"/>
    <col min="8705" max="8705" width="26" customWidth="1"/>
    <col min="8961" max="8961" width="26" customWidth="1"/>
    <col min="9217" max="9217" width="26" customWidth="1"/>
    <col min="9473" max="9473" width="26" customWidth="1"/>
    <col min="9729" max="9729" width="26" customWidth="1"/>
    <col min="9985" max="9985" width="26" customWidth="1"/>
    <col min="10241" max="10241" width="26" customWidth="1"/>
    <col min="10497" max="10497" width="26" customWidth="1"/>
    <col min="10753" max="10753" width="26" customWidth="1"/>
    <col min="11009" max="11009" width="26" customWidth="1"/>
    <col min="11265" max="11265" width="26" customWidth="1"/>
    <col min="11521" max="11521" width="26" customWidth="1"/>
    <col min="11777" max="11777" width="26" customWidth="1"/>
    <col min="12033" max="12033" width="26" customWidth="1"/>
    <col min="12289" max="12289" width="26" customWidth="1"/>
    <col min="12545" max="12545" width="26" customWidth="1"/>
    <col min="12801" max="12801" width="26" customWidth="1"/>
    <col min="13057" max="13057" width="26" customWidth="1"/>
    <col min="13313" max="13313" width="26" customWidth="1"/>
    <col min="13569" max="13569" width="26" customWidth="1"/>
    <col min="13825" max="13825" width="26" customWidth="1"/>
    <col min="14081" max="14081" width="26" customWidth="1"/>
    <col min="14337" max="14337" width="26" customWidth="1"/>
    <col min="14593" max="14593" width="26" customWidth="1"/>
    <col min="14849" max="14849" width="26" customWidth="1"/>
    <col min="15105" max="15105" width="26" customWidth="1"/>
    <col min="15361" max="15361" width="26" customWidth="1"/>
    <col min="15617" max="15617" width="26" customWidth="1"/>
    <col min="15873" max="15873" width="26" customWidth="1"/>
    <col min="16129" max="16129" width="26" customWidth="1"/>
  </cols>
  <sheetData>
    <row r="1" spans="1:20" ht="15">
      <c r="A1" s="347"/>
      <c r="B1" s="535" t="s">
        <v>100</v>
      </c>
      <c r="C1" s="536"/>
      <c r="D1" s="536"/>
      <c r="E1" s="536"/>
      <c r="F1" s="536"/>
      <c r="G1" s="536"/>
      <c r="H1" s="536"/>
      <c r="I1" s="536"/>
      <c r="J1" s="537"/>
      <c r="K1" s="535" t="s">
        <v>101</v>
      </c>
      <c r="L1" s="536"/>
      <c r="M1" s="536"/>
      <c r="N1" s="536"/>
      <c r="O1" s="536"/>
      <c r="P1" s="536"/>
      <c r="Q1" s="536"/>
      <c r="R1" s="536"/>
      <c r="S1" s="537"/>
      <c r="T1" s="336" t="s">
        <v>102</v>
      </c>
    </row>
    <row r="2" spans="1:20">
      <c r="A2" s="348"/>
      <c r="B2" s="535" t="s">
        <v>10</v>
      </c>
      <c r="C2" s="537"/>
      <c r="D2" s="535" t="s">
        <v>13</v>
      </c>
      <c r="E2" s="537"/>
      <c r="F2" s="535" t="s">
        <v>14</v>
      </c>
      <c r="G2" s="537"/>
      <c r="H2" s="337" t="s">
        <v>15</v>
      </c>
      <c r="I2" s="337" t="s">
        <v>16</v>
      </c>
      <c r="J2" s="533" t="s">
        <v>4</v>
      </c>
      <c r="K2" s="535" t="s">
        <v>10</v>
      </c>
      <c r="L2" s="537"/>
      <c r="M2" s="535" t="s">
        <v>13</v>
      </c>
      <c r="N2" s="537"/>
      <c r="O2" s="535" t="s">
        <v>14</v>
      </c>
      <c r="P2" s="537"/>
      <c r="Q2" s="337" t="s">
        <v>15</v>
      </c>
      <c r="R2" s="337" t="s">
        <v>16</v>
      </c>
      <c r="S2" s="533" t="s">
        <v>4</v>
      </c>
      <c r="T2" s="338" t="s">
        <v>99</v>
      </c>
    </row>
    <row r="3" spans="1:20" ht="19.5">
      <c r="A3" s="349" t="s">
        <v>18</v>
      </c>
      <c r="B3" s="351" t="s">
        <v>103</v>
      </c>
      <c r="C3" s="336" t="s">
        <v>104</v>
      </c>
      <c r="D3" s="336" t="s">
        <v>105</v>
      </c>
      <c r="E3" s="336" t="s">
        <v>106</v>
      </c>
      <c r="F3" s="336" t="s">
        <v>107</v>
      </c>
      <c r="G3" s="336" t="s">
        <v>108</v>
      </c>
      <c r="H3" s="336" t="s">
        <v>109</v>
      </c>
      <c r="I3" s="336" t="s">
        <v>110</v>
      </c>
      <c r="J3" s="534"/>
      <c r="K3" s="336" t="s">
        <v>103</v>
      </c>
      <c r="L3" s="336" t="s">
        <v>104</v>
      </c>
      <c r="M3" s="336" t="s">
        <v>105</v>
      </c>
      <c r="N3" s="336" t="s">
        <v>106</v>
      </c>
      <c r="O3" s="336" t="s">
        <v>107</v>
      </c>
      <c r="P3" s="336" t="s">
        <v>108</v>
      </c>
      <c r="Q3" s="336" t="s">
        <v>109</v>
      </c>
      <c r="R3" s="336" t="s">
        <v>110</v>
      </c>
      <c r="S3" s="534"/>
      <c r="T3" s="352"/>
    </row>
    <row r="4" spans="1:20" s="345" customFormat="1">
      <c r="A4" s="342" t="s">
        <v>111</v>
      </c>
      <c r="B4" s="353" t="s">
        <v>411</v>
      </c>
      <c r="C4" s="353" t="s">
        <v>411</v>
      </c>
      <c r="D4" s="354">
        <v>890920</v>
      </c>
      <c r="E4" s="353" t="s">
        <v>411</v>
      </c>
      <c r="F4" s="354">
        <v>449100</v>
      </c>
      <c r="G4" s="353" t="s">
        <v>411</v>
      </c>
      <c r="H4" s="353" t="s">
        <v>411</v>
      </c>
      <c r="I4" s="354">
        <v>6048604.5</v>
      </c>
      <c r="J4" s="416">
        <f>SUM(B4:I4)</f>
        <v>7388624.5</v>
      </c>
      <c r="K4" s="353" t="s">
        <v>411</v>
      </c>
      <c r="L4" s="353" t="s">
        <v>411</v>
      </c>
      <c r="M4" s="354">
        <v>875631</v>
      </c>
      <c r="N4" s="353" t="s">
        <v>411</v>
      </c>
      <c r="O4" s="354">
        <v>449100</v>
      </c>
      <c r="P4" s="353" t="s">
        <v>411</v>
      </c>
      <c r="Q4" s="353" t="s">
        <v>411</v>
      </c>
      <c r="R4" s="354">
        <v>6048604.5</v>
      </c>
      <c r="S4" s="416">
        <f>SUM(K4:R4)</f>
        <v>7373335.5</v>
      </c>
      <c r="T4" s="355">
        <f>SUM(S4/J4)</f>
        <v>0.99793073798783527</v>
      </c>
    </row>
    <row r="5" spans="1:20" s="345" customFormat="1">
      <c r="A5" s="342" t="s">
        <v>112</v>
      </c>
      <c r="B5" s="356" t="s">
        <v>411</v>
      </c>
      <c r="C5" s="356" t="s">
        <v>411</v>
      </c>
      <c r="D5" s="357">
        <v>171674</v>
      </c>
      <c r="E5" s="356" t="s">
        <v>411</v>
      </c>
      <c r="F5" s="356" t="s">
        <v>411</v>
      </c>
      <c r="G5" s="356" t="s">
        <v>411</v>
      </c>
      <c r="H5" s="356" t="s">
        <v>411</v>
      </c>
      <c r="I5" s="357">
        <v>30000</v>
      </c>
      <c r="J5" s="416">
        <f t="shared" ref="J5:J68" si="0">SUM(B5:I5)</f>
        <v>201674</v>
      </c>
      <c r="K5" s="356" t="s">
        <v>411</v>
      </c>
      <c r="L5" s="356" t="s">
        <v>411</v>
      </c>
      <c r="M5" s="357">
        <v>171331</v>
      </c>
      <c r="N5" s="356" t="s">
        <v>411</v>
      </c>
      <c r="O5" s="356" t="s">
        <v>411</v>
      </c>
      <c r="P5" s="356" t="s">
        <v>411</v>
      </c>
      <c r="Q5" s="356" t="s">
        <v>411</v>
      </c>
      <c r="R5" s="357">
        <v>30000</v>
      </c>
      <c r="S5" s="416">
        <f t="shared" ref="S5:S68" si="1">SUM(K5:R5)</f>
        <v>201331</v>
      </c>
      <c r="T5" s="355">
        <f t="shared" ref="T5:T68" si="2">SUM(S5/J5)</f>
        <v>0.99829923539970444</v>
      </c>
    </row>
    <row r="6" spans="1:20" s="345" customFormat="1">
      <c r="A6" s="342" t="s">
        <v>113</v>
      </c>
      <c r="B6" s="353" t="s">
        <v>411</v>
      </c>
      <c r="C6" s="353" t="s">
        <v>411</v>
      </c>
      <c r="D6" s="354">
        <v>132839</v>
      </c>
      <c r="E6" s="353" t="s">
        <v>411</v>
      </c>
      <c r="F6" s="353" t="s">
        <v>411</v>
      </c>
      <c r="G6" s="353" t="s">
        <v>411</v>
      </c>
      <c r="H6" s="353" t="s">
        <v>411</v>
      </c>
      <c r="I6" s="354">
        <v>29940</v>
      </c>
      <c r="J6" s="416">
        <f t="shared" si="0"/>
        <v>162779</v>
      </c>
      <c r="K6" s="353" t="s">
        <v>411</v>
      </c>
      <c r="L6" s="353" t="s">
        <v>411</v>
      </c>
      <c r="M6" s="354">
        <v>130445.2</v>
      </c>
      <c r="N6" s="353" t="s">
        <v>411</v>
      </c>
      <c r="O6" s="353" t="s">
        <v>411</v>
      </c>
      <c r="P6" s="353" t="s">
        <v>411</v>
      </c>
      <c r="Q6" s="353" t="s">
        <v>411</v>
      </c>
      <c r="R6" s="354">
        <v>29940</v>
      </c>
      <c r="S6" s="416">
        <f t="shared" si="1"/>
        <v>160385.20000000001</v>
      </c>
      <c r="T6" s="355">
        <f t="shared" si="2"/>
        <v>0.98529417185263457</v>
      </c>
    </row>
    <row r="7" spans="1:20" s="345" customFormat="1">
      <c r="A7" s="342" t="s">
        <v>114</v>
      </c>
      <c r="B7" s="356" t="s">
        <v>411</v>
      </c>
      <c r="C7" s="356" t="s">
        <v>411</v>
      </c>
      <c r="D7" s="357">
        <v>62866</v>
      </c>
      <c r="E7" s="356" t="s">
        <v>411</v>
      </c>
      <c r="F7" s="356" t="s">
        <v>411</v>
      </c>
      <c r="G7" s="356" t="s">
        <v>411</v>
      </c>
      <c r="H7" s="356" t="s">
        <v>411</v>
      </c>
      <c r="I7" s="357">
        <v>30000</v>
      </c>
      <c r="J7" s="416">
        <f t="shared" si="0"/>
        <v>92866</v>
      </c>
      <c r="K7" s="356" t="s">
        <v>411</v>
      </c>
      <c r="L7" s="356" t="s">
        <v>411</v>
      </c>
      <c r="M7" s="357">
        <v>60874</v>
      </c>
      <c r="N7" s="356" t="s">
        <v>411</v>
      </c>
      <c r="O7" s="356" t="s">
        <v>411</v>
      </c>
      <c r="P7" s="356" t="s">
        <v>411</v>
      </c>
      <c r="Q7" s="356" t="s">
        <v>411</v>
      </c>
      <c r="R7" s="357">
        <v>30000</v>
      </c>
      <c r="S7" s="416">
        <f t="shared" si="1"/>
        <v>90874</v>
      </c>
      <c r="T7" s="355">
        <f t="shared" si="2"/>
        <v>0.97854973833265135</v>
      </c>
    </row>
    <row r="8" spans="1:20" s="345" customFormat="1">
      <c r="A8" s="342" t="s">
        <v>262</v>
      </c>
      <c r="B8" s="353" t="s">
        <v>411</v>
      </c>
      <c r="C8" s="353" t="s">
        <v>411</v>
      </c>
      <c r="D8" s="353" t="s">
        <v>411</v>
      </c>
      <c r="E8" s="353" t="s">
        <v>411</v>
      </c>
      <c r="F8" s="353" t="s">
        <v>411</v>
      </c>
      <c r="G8" s="353" t="s">
        <v>411</v>
      </c>
      <c r="H8" s="353" t="s">
        <v>411</v>
      </c>
      <c r="I8" s="354">
        <v>491266</v>
      </c>
      <c r="J8" s="416">
        <f t="shared" si="0"/>
        <v>491266</v>
      </c>
      <c r="K8" s="353" t="s">
        <v>411</v>
      </c>
      <c r="L8" s="353" t="s">
        <v>411</v>
      </c>
      <c r="M8" s="353" t="s">
        <v>411</v>
      </c>
      <c r="N8" s="353" t="s">
        <v>411</v>
      </c>
      <c r="O8" s="353" t="s">
        <v>411</v>
      </c>
      <c r="P8" s="353" t="s">
        <v>411</v>
      </c>
      <c r="Q8" s="353" t="s">
        <v>411</v>
      </c>
      <c r="R8" s="354">
        <v>491266</v>
      </c>
      <c r="S8" s="416">
        <f t="shared" si="1"/>
        <v>491266</v>
      </c>
      <c r="T8" s="355">
        <f t="shared" si="2"/>
        <v>1</v>
      </c>
    </row>
    <row r="9" spans="1:20" s="345" customFormat="1">
      <c r="A9" s="342" t="s">
        <v>115</v>
      </c>
      <c r="B9" s="356" t="s">
        <v>411</v>
      </c>
      <c r="C9" s="356" t="s">
        <v>411</v>
      </c>
      <c r="D9" s="357">
        <v>134512</v>
      </c>
      <c r="E9" s="356" t="s">
        <v>411</v>
      </c>
      <c r="F9" s="356" t="s">
        <v>411</v>
      </c>
      <c r="G9" s="356" t="s">
        <v>411</v>
      </c>
      <c r="H9" s="356" t="s">
        <v>411</v>
      </c>
      <c r="I9" s="357">
        <v>30000</v>
      </c>
      <c r="J9" s="416">
        <f t="shared" si="0"/>
        <v>164512</v>
      </c>
      <c r="K9" s="356" t="s">
        <v>411</v>
      </c>
      <c r="L9" s="356" t="s">
        <v>411</v>
      </c>
      <c r="M9" s="357">
        <v>125861</v>
      </c>
      <c r="N9" s="356" t="s">
        <v>411</v>
      </c>
      <c r="O9" s="356" t="s">
        <v>411</v>
      </c>
      <c r="P9" s="356" t="s">
        <v>411</v>
      </c>
      <c r="Q9" s="356" t="s">
        <v>411</v>
      </c>
      <c r="R9" s="357">
        <v>30000</v>
      </c>
      <c r="S9" s="416">
        <f t="shared" si="1"/>
        <v>155861</v>
      </c>
      <c r="T9" s="355">
        <f t="shared" si="2"/>
        <v>0.94741417039486486</v>
      </c>
    </row>
    <row r="10" spans="1:20" s="345" customFormat="1">
      <c r="A10" s="342" t="s">
        <v>116</v>
      </c>
      <c r="B10" s="353" t="s">
        <v>411</v>
      </c>
      <c r="C10" s="353" t="s">
        <v>411</v>
      </c>
      <c r="D10" s="354">
        <v>60859</v>
      </c>
      <c r="E10" s="353" t="s">
        <v>411</v>
      </c>
      <c r="F10" s="353" t="s">
        <v>411</v>
      </c>
      <c r="G10" s="353" t="s">
        <v>411</v>
      </c>
      <c r="H10" s="353" t="s">
        <v>411</v>
      </c>
      <c r="I10" s="354">
        <v>2467385.86</v>
      </c>
      <c r="J10" s="416">
        <f t="shared" si="0"/>
        <v>2528244.86</v>
      </c>
      <c r="K10" s="353" t="s">
        <v>411</v>
      </c>
      <c r="L10" s="353" t="s">
        <v>411</v>
      </c>
      <c r="M10" s="354">
        <v>60608</v>
      </c>
      <c r="N10" s="353" t="s">
        <v>411</v>
      </c>
      <c r="O10" s="353" t="s">
        <v>411</v>
      </c>
      <c r="P10" s="353" t="s">
        <v>411</v>
      </c>
      <c r="Q10" s="353" t="s">
        <v>411</v>
      </c>
      <c r="R10" s="354">
        <v>2467385.86</v>
      </c>
      <c r="S10" s="416">
        <f t="shared" si="1"/>
        <v>2527993.86</v>
      </c>
      <c r="T10" s="355">
        <f t="shared" si="2"/>
        <v>0.99990072164133659</v>
      </c>
    </row>
    <row r="11" spans="1:20" s="345" customFormat="1">
      <c r="A11" s="342" t="s">
        <v>263</v>
      </c>
      <c r="B11" s="356" t="s">
        <v>411</v>
      </c>
      <c r="C11" s="356" t="s">
        <v>411</v>
      </c>
      <c r="D11" s="357">
        <v>78000</v>
      </c>
      <c r="E11" s="356" t="s">
        <v>411</v>
      </c>
      <c r="F11" s="356" t="s">
        <v>411</v>
      </c>
      <c r="G11" s="356" t="s">
        <v>411</v>
      </c>
      <c r="H11" s="356" t="s">
        <v>411</v>
      </c>
      <c r="I11" s="357">
        <v>1158585</v>
      </c>
      <c r="J11" s="416">
        <f t="shared" si="0"/>
        <v>1236585</v>
      </c>
      <c r="K11" s="356" t="s">
        <v>411</v>
      </c>
      <c r="L11" s="356" t="s">
        <v>411</v>
      </c>
      <c r="M11" s="357">
        <v>77941</v>
      </c>
      <c r="N11" s="356" t="s">
        <v>411</v>
      </c>
      <c r="O11" s="356" t="s">
        <v>411</v>
      </c>
      <c r="P11" s="356" t="s">
        <v>411</v>
      </c>
      <c r="Q11" s="356" t="s">
        <v>411</v>
      </c>
      <c r="R11" s="357">
        <v>1158585</v>
      </c>
      <c r="S11" s="416">
        <f t="shared" si="1"/>
        <v>1236526</v>
      </c>
      <c r="T11" s="355">
        <f t="shared" si="2"/>
        <v>0.99995228795432578</v>
      </c>
    </row>
    <row r="12" spans="1:20" s="345" customFormat="1">
      <c r="A12" s="342" t="s">
        <v>264</v>
      </c>
      <c r="B12" s="353" t="s">
        <v>411</v>
      </c>
      <c r="C12" s="353" t="s">
        <v>411</v>
      </c>
      <c r="D12" s="354">
        <v>342750</v>
      </c>
      <c r="E12" s="353" t="s">
        <v>411</v>
      </c>
      <c r="F12" s="353" t="s">
        <v>411</v>
      </c>
      <c r="G12" s="353" t="s">
        <v>411</v>
      </c>
      <c r="H12" s="353" t="s">
        <v>411</v>
      </c>
      <c r="I12" s="354">
        <v>419000</v>
      </c>
      <c r="J12" s="416">
        <f t="shared" si="0"/>
        <v>761750</v>
      </c>
      <c r="K12" s="353" t="s">
        <v>411</v>
      </c>
      <c r="L12" s="353" t="s">
        <v>411</v>
      </c>
      <c r="M12" s="354">
        <v>342150</v>
      </c>
      <c r="N12" s="353" t="s">
        <v>411</v>
      </c>
      <c r="O12" s="353" t="s">
        <v>411</v>
      </c>
      <c r="P12" s="353" t="s">
        <v>411</v>
      </c>
      <c r="Q12" s="353" t="s">
        <v>411</v>
      </c>
      <c r="R12" s="354">
        <v>419000</v>
      </c>
      <c r="S12" s="416">
        <f t="shared" si="1"/>
        <v>761150</v>
      </c>
      <c r="T12" s="355">
        <f t="shared" si="2"/>
        <v>0.99921234000656378</v>
      </c>
    </row>
    <row r="13" spans="1:20" s="362" customFormat="1">
      <c r="A13" s="343" t="s">
        <v>438</v>
      </c>
      <c r="B13" s="359">
        <f>SUM(B4:B12)</f>
        <v>0</v>
      </c>
      <c r="C13" s="359">
        <f t="shared" ref="C13:R13" si="3">SUM(C4:C12)</f>
        <v>0</v>
      </c>
      <c r="D13" s="359">
        <f t="shared" si="3"/>
        <v>1874420</v>
      </c>
      <c r="E13" s="359">
        <f t="shared" si="3"/>
        <v>0</v>
      </c>
      <c r="F13" s="359">
        <f t="shared" si="3"/>
        <v>449100</v>
      </c>
      <c r="G13" s="359">
        <f t="shared" si="3"/>
        <v>0</v>
      </c>
      <c r="H13" s="359">
        <f t="shared" si="3"/>
        <v>0</v>
      </c>
      <c r="I13" s="359">
        <f t="shared" si="3"/>
        <v>10704781.359999999</v>
      </c>
      <c r="J13" s="416">
        <f t="shared" si="0"/>
        <v>13028301.359999999</v>
      </c>
      <c r="K13" s="359">
        <f t="shared" si="3"/>
        <v>0</v>
      </c>
      <c r="L13" s="359">
        <f t="shared" si="3"/>
        <v>0</v>
      </c>
      <c r="M13" s="359">
        <f t="shared" si="3"/>
        <v>1844841.2</v>
      </c>
      <c r="N13" s="359">
        <f t="shared" si="3"/>
        <v>0</v>
      </c>
      <c r="O13" s="359">
        <f t="shared" si="3"/>
        <v>449100</v>
      </c>
      <c r="P13" s="359">
        <f t="shared" si="3"/>
        <v>0</v>
      </c>
      <c r="Q13" s="359">
        <f t="shared" si="3"/>
        <v>0</v>
      </c>
      <c r="R13" s="359">
        <f t="shared" si="3"/>
        <v>10704781.359999999</v>
      </c>
      <c r="S13" s="416">
        <f t="shared" si="1"/>
        <v>12998722.559999999</v>
      </c>
      <c r="T13" s="355">
        <f t="shared" si="2"/>
        <v>0.99772965030646166</v>
      </c>
    </row>
    <row r="14" spans="1:20" s="345" customFormat="1">
      <c r="A14" s="342" t="s">
        <v>117</v>
      </c>
      <c r="B14" s="356" t="s">
        <v>411</v>
      </c>
      <c r="C14" s="356" t="s">
        <v>411</v>
      </c>
      <c r="D14" s="357">
        <v>526806</v>
      </c>
      <c r="E14" s="356" t="s">
        <v>411</v>
      </c>
      <c r="F14" s="356" t="s">
        <v>411</v>
      </c>
      <c r="G14" s="356" t="s">
        <v>411</v>
      </c>
      <c r="H14" s="357">
        <v>2029000</v>
      </c>
      <c r="I14" s="357">
        <v>5782585.2400000002</v>
      </c>
      <c r="J14" s="416">
        <f t="shared" si="0"/>
        <v>8338391.2400000002</v>
      </c>
      <c r="K14" s="356" t="s">
        <v>411</v>
      </c>
      <c r="L14" s="356" t="s">
        <v>411</v>
      </c>
      <c r="M14" s="357">
        <v>508576.95</v>
      </c>
      <c r="N14" s="356" t="s">
        <v>411</v>
      </c>
      <c r="O14" s="356" t="s">
        <v>411</v>
      </c>
      <c r="P14" s="356" t="s">
        <v>411</v>
      </c>
      <c r="Q14" s="357">
        <v>2029000</v>
      </c>
      <c r="R14" s="357">
        <v>5782585.2400000002</v>
      </c>
      <c r="S14" s="416">
        <f t="shared" si="1"/>
        <v>8320162.1900000004</v>
      </c>
      <c r="T14" s="355">
        <f t="shared" si="2"/>
        <v>0.99781384088665048</v>
      </c>
    </row>
    <row r="15" spans="1:20" s="345" customFormat="1">
      <c r="A15" s="342" t="s">
        <v>118</v>
      </c>
      <c r="B15" s="353" t="s">
        <v>411</v>
      </c>
      <c r="C15" s="353" t="s">
        <v>411</v>
      </c>
      <c r="D15" s="354">
        <v>110050</v>
      </c>
      <c r="E15" s="353" t="s">
        <v>411</v>
      </c>
      <c r="F15" s="354">
        <f>450000-11500</f>
        <v>438500</v>
      </c>
      <c r="G15" s="353" t="s">
        <v>411</v>
      </c>
      <c r="H15" s="353" t="s">
        <v>411</v>
      </c>
      <c r="I15" s="354">
        <v>30000</v>
      </c>
      <c r="J15" s="416">
        <f t="shared" si="0"/>
        <v>578550</v>
      </c>
      <c r="K15" s="353" t="s">
        <v>411</v>
      </c>
      <c r="L15" s="353" t="s">
        <v>411</v>
      </c>
      <c r="M15" s="354">
        <v>109999.85</v>
      </c>
      <c r="N15" s="353" t="s">
        <v>411</v>
      </c>
      <c r="O15" s="354">
        <v>450000</v>
      </c>
      <c r="P15" s="353" t="s">
        <v>411</v>
      </c>
      <c r="Q15" s="353" t="s">
        <v>411</v>
      </c>
      <c r="R15" s="354">
        <v>30000</v>
      </c>
      <c r="S15" s="416">
        <f t="shared" si="1"/>
        <v>589999.85</v>
      </c>
      <c r="T15" s="355">
        <f t="shared" si="2"/>
        <v>1.0197905971826116</v>
      </c>
    </row>
    <row r="16" spans="1:20" s="345" customFormat="1">
      <c r="A16" s="342" t="s">
        <v>119</v>
      </c>
      <c r="B16" s="356" t="s">
        <v>411</v>
      </c>
      <c r="C16" s="356" t="s">
        <v>411</v>
      </c>
      <c r="D16" s="357">
        <v>118500</v>
      </c>
      <c r="E16" s="356" t="s">
        <v>411</v>
      </c>
      <c r="F16" s="357">
        <v>410400</v>
      </c>
      <c r="G16" s="356" t="s">
        <v>411</v>
      </c>
      <c r="H16" s="356" t="s">
        <v>411</v>
      </c>
      <c r="I16" s="356" t="s">
        <v>411</v>
      </c>
      <c r="J16" s="416">
        <f t="shared" si="0"/>
        <v>528900</v>
      </c>
      <c r="K16" s="356" t="s">
        <v>411</v>
      </c>
      <c r="L16" s="356" t="s">
        <v>411</v>
      </c>
      <c r="M16" s="357">
        <v>118435</v>
      </c>
      <c r="N16" s="356" t="s">
        <v>411</v>
      </c>
      <c r="O16" s="357">
        <v>410400</v>
      </c>
      <c r="P16" s="356" t="s">
        <v>411</v>
      </c>
      <c r="Q16" s="356" t="s">
        <v>411</v>
      </c>
      <c r="R16" s="356" t="s">
        <v>411</v>
      </c>
      <c r="S16" s="416">
        <f t="shared" si="1"/>
        <v>528835</v>
      </c>
      <c r="T16" s="355">
        <f t="shared" si="2"/>
        <v>0.99987710342219704</v>
      </c>
    </row>
    <row r="17" spans="1:20" s="345" customFormat="1">
      <c r="A17" s="342" t="s">
        <v>120</v>
      </c>
      <c r="B17" s="353" t="s">
        <v>411</v>
      </c>
      <c r="C17" s="353" t="s">
        <v>411</v>
      </c>
      <c r="D17" s="354">
        <v>126129</v>
      </c>
      <c r="E17" s="353" t="s">
        <v>411</v>
      </c>
      <c r="F17" s="353" t="s">
        <v>411</v>
      </c>
      <c r="G17" s="353" t="s">
        <v>411</v>
      </c>
      <c r="H17" s="353" t="s">
        <v>411</v>
      </c>
      <c r="I17" s="353" t="s">
        <v>411</v>
      </c>
      <c r="J17" s="416">
        <f t="shared" si="0"/>
        <v>126129</v>
      </c>
      <c r="K17" s="353" t="s">
        <v>411</v>
      </c>
      <c r="L17" s="353" t="s">
        <v>411</v>
      </c>
      <c r="M17" s="354">
        <v>125900</v>
      </c>
      <c r="N17" s="353" t="s">
        <v>411</v>
      </c>
      <c r="O17" s="353" t="s">
        <v>411</v>
      </c>
      <c r="P17" s="353" t="s">
        <v>411</v>
      </c>
      <c r="Q17" s="353" t="s">
        <v>411</v>
      </c>
      <c r="R17" s="353" t="s">
        <v>411</v>
      </c>
      <c r="S17" s="416">
        <f t="shared" si="1"/>
        <v>125900</v>
      </c>
      <c r="T17" s="355">
        <f t="shared" si="2"/>
        <v>0.99818439851263385</v>
      </c>
    </row>
    <row r="18" spans="1:20" s="345" customFormat="1">
      <c r="A18" s="342" t="s">
        <v>121</v>
      </c>
      <c r="B18" s="356" t="s">
        <v>411</v>
      </c>
      <c r="C18" s="356" t="s">
        <v>411</v>
      </c>
      <c r="D18" s="357">
        <v>240850</v>
      </c>
      <c r="E18" s="356" t="s">
        <v>411</v>
      </c>
      <c r="F18" s="356" t="s">
        <v>411</v>
      </c>
      <c r="G18" s="356" t="s">
        <v>411</v>
      </c>
      <c r="H18" s="356" t="s">
        <v>411</v>
      </c>
      <c r="I18" s="357">
        <v>19536</v>
      </c>
      <c r="J18" s="416">
        <f t="shared" si="0"/>
        <v>260386</v>
      </c>
      <c r="K18" s="356" t="s">
        <v>411</v>
      </c>
      <c r="L18" s="356" t="s">
        <v>411</v>
      </c>
      <c r="M18" s="357">
        <v>240842</v>
      </c>
      <c r="N18" s="356" t="s">
        <v>411</v>
      </c>
      <c r="O18" s="356" t="s">
        <v>411</v>
      </c>
      <c r="P18" s="356" t="s">
        <v>411</v>
      </c>
      <c r="Q18" s="356" t="s">
        <v>411</v>
      </c>
      <c r="R18" s="357">
        <v>19536</v>
      </c>
      <c r="S18" s="416">
        <f t="shared" si="1"/>
        <v>260378</v>
      </c>
      <c r="T18" s="355">
        <f t="shared" si="2"/>
        <v>0.99996927638198674</v>
      </c>
    </row>
    <row r="19" spans="1:20" s="345" customFormat="1">
      <c r="A19" s="342" t="s">
        <v>122</v>
      </c>
      <c r="B19" s="353" t="s">
        <v>411</v>
      </c>
      <c r="C19" s="353" t="s">
        <v>411</v>
      </c>
      <c r="D19" s="354">
        <v>54500</v>
      </c>
      <c r="E19" s="353" t="s">
        <v>411</v>
      </c>
      <c r="F19" s="353" t="s">
        <v>411</v>
      </c>
      <c r="G19" s="353" t="s">
        <v>411</v>
      </c>
      <c r="H19" s="353" t="s">
        <v>411</v>
      </c>
      <c r="I19" s="354">
        <v>20000</v>
      </c>
      <c r="J19" s="416">
        <f t="shared" si="0"/>
        <v>74500</v>
      </c>
      <c r="K19" s="353" t="s">
        <v>411</v>
      </c>
      <c r="L19" s="353" t="s">
        <v>411</v>
      </c>
      <c r="M19" s="354">
        <v>30709</v>
      </c>
      <c r="N19" s="353" t="s">
        <v>411</v>
      </c>
      <c r="O19" s="353" t="s">
        <v>411</v>
      </c>
      <c r="P19" s="353" t="s">
        <v>411</v>
      </c>
      <c r="Q19" s="353" t="s">
        <v>411</v>
      </c>
      <c r="R19" s="354">
        <v>20000</v>
      </c>
      <c r="S19" s="416">
        <f t="shared" si="1"/>
        <v>50709</v>
      </c>
      <c r="T19" s="355">
        <f t="shared" si="2"/>
        <v>0.68065771812080533</v>
      </c>
    </row>
    <row r="20" spans="1:20" s="345" customFormat="1">
      <c r="A20" s="342" t="s">
        <v>123</v>
      </c>
      <c r="B20" s="353" t="s">
        <v>411</v>
      </c>
      <c r="C20" s="353" t="s">
        <v>411</v>
      </c>
      <c r="D20" s="354">
        <v>80700</v>
      </c>
      <c r="E20" s="353" t="s">
        <v>411</v>
      </c>
      <c r="F20" s="354">
        <v>870000</v>
      </c>
      <c r="G20" s="353" t="s">
        <v>411</v>
      </c>
      <c r="H20" s="353" t="s">
        <v>411</v>
      </c>
      <c r="I20" s="353" t="s">
        <v>411</v>
      </c>
      <c r="J20" s="416">
        <f t="shared" si="0"/>
        <v>950700</v>
      </c>
      <c r="K20" s="353" t="s">
        <v>411</v>
      </c>
      <c r="L20" s="353" t="s">
        <v>411</v>
      </c>
      <c r="M20" s="354">
        <v>66220</v>
      </c>
      <c r="N20" s="353" t="s">
        <v>411</v>
      </c>
      <c r="O20" s="353" t="s">
        <v>411</v>
      </c>
      <c r="P20" s="353" t="s">
        <v>411</v>
      </c>
      <c r="Q20" s="353" t="s">
        <v>411</v>
      </c>
      <c r="R20" s="353" t="s">
        <v>411</v>
      </c>
      <c r="S20" s="416">
        <f t="shared" si="1"/>
        <v>66220</v>
      </c>
      <c r="T20" s="355">
        <f t="shared" si="2"/>
        <v>6.965393920269275E-2</v>
      </c>
    </row>
    <row r="21" spans="1:20" s="345" customFormat="1">
      <c r="A21" s="342" t="s">
        <v>124</v>
      </c>
      <c r="B21" s="356" t="s">
        <v>411</v>
      </c>
      <c r="C21" s="356" t="s">
        <v>411</v>
      </c>
      <c r="D21" s="356" t="s">
        <v>411</v>
      </c>
      <c r="E21" s="356" t="s">
        <v>411</v>
      </c>
      <c r="F21" s="356" t="s">
        <v>411</v>
      </c>
      <c r="G21" s="356" t="s">
        <v>411</v>
      </c>
      <c r="H21" s="356" t="s">
        <v>411</v>
      </c>
      <c r="I21" s="357">
        <v>699999.44</v>
      </c>
      <c r="J21" s="416">
        <f t="shared" si="0"/>
        <v>699999.44</v>
      </c>
      <c r="K21" s="356" t="s">
        <v>411</v>
      </c>
      <c r="L21" s="356" t="s">
        <v>411</v>
      </c>
      <c r="M21" s="356" t="s">
        <v>411</v>
      </c>
      <c r="N21" s="356" t="s">
        <v>411</v>
      </c>
      <c r="O21" s="356" t="s">
        <v>411</v>
      </c>
      <c r="P21" s="356" t="s">
        <v>411</v>
      </c>
      <c r="Q21" s="356" t="s">
        <v>411</v>
      </c>
      <c r="R21" s="357">
        <v>699999.44</v>
      </c>
      <c r="S21" s="416">
        <f t="shared" si="1"/>
        <v>699999.44</v>
      </c>
      <c r="T21" s="355">
        <f t="shared" si="2"/>
        <v>1</v>
      </c>
    </row>
    <row r="22" spans="1:20" s="345" customFormat="1">
      <c r="A22" s="342" t="s">
        <v>125</v>
      </c>
      <c r="B22" s="353" t="s">
        <v>411</v>
      </c>
      <c r="C22" s="353" t="s">
        <v>411</v>
      </c>
      <c r="D22" s="354">
        <v>134750</v>
      </c>
      <c r="E22" s="353" t="s">
        <v>411</v>
      </c>
      <c r="F22" s="353" t="s">
        <v>411</v>
      </c>
      <c r="G22" s="353" t="s">
        <v>411</v>
      </c>
      <c r="H22" s="353" t="s">
        <v>411</v>
      </c>
      <c r="I22" s="354">
        <v>5651</v>
      </c>
      <c r="J22" s="416">
        <f t="shared" si="0"/>
        <v>140401</v>
      </c>
      <c r="K22" s="353" t="s">
        <v>411</v>
      </c>
      <c r="L22" s="353" t="s">
        <v>411</v>
      </c>
      <c r="M22" s="354">
        <v>132923.72</v>
      </c>
      <c r="N22" s="353" t="s">
        <v>411</v>
      </c>
      <c r="O22" s="353" t="s">
        <v>411</v>
      </c>
      <c r="P22" s="353" t="s">
        <v>411</v>
      </c>
      <c r="Q22" s="353" t="s">
        <v>411</v>
      </c>
      <c r="R22" s="354">
        <v>5651</v>
      </c>
      <c r="S22" s="416">
        <f t="shared" si="1"/>
        <v>138574.72</v>
      </c>
      <c r="T22" s="355">
        <f t="shared" si="2"/>
        <v>0.98699240033902891</v>
      </c>
    </row>
    <row r="23" spans="1:20" s="345" customFormat="1">
      <c r="A23" s="342" t="s">
        <v>126</v>
      </c>
      <c r="B23" s="356" t="s">
        <v>411</v>
      </c>
      <c r="C23" s="356" t="s">
        <v>411</v>
      </c>
      <c r="D23" s="357">
        <v>200400</v>
      </c>
      <c r="E23" s="356" t="s">
        <v>411</v>
      </c>
      <c r="F23" s="356" t="s">
        <v>411</v>
      </c>
      <c r="G23" s="356" t="s">
        <v>411</v>
      </c>
      <c r="H23" s="356" t="s">
        <v>411</v>
      </c>
      <c r="I23" s="357">
        <v>16032</v>
      </c>
      <c r="J23" s="416">
        <f t="shared" si="0"/>
        <v>216432</v>
      </c>
      <c r="K23" s="356" t="s">
        <v>411</v>
      </c>
      <c r="L23" s="356" t="s">
        <v>411</v>
      </c>
      <c r="M23" s="357">
        <v>196562.8</v>
      </c>
      <c r="N23" s="356" t="s">
        <v>411</v>
      </c>
      <c r="O23" s="356" t="s">
        <v>411</v>
      </c>
      <c r="P23" s="356" t="s">
        <v>411</v>
      </c>
      <c r="Q23" s="356" t="s">
        <v>411</v>
      </c>
      <c r="R23" s="357">
        <v>16032</v>
      </c>
      <c r="S23" s="416">
        <f t="shared" si="1"/>
        <v>212594.8</v>
      </c>
      <c r="T23" s="355">
        <f t="shared" si="2"/>
        <v>0.98227064389739038</v>
      </c>
    </row>
    <row r="24" spans="1:20" s="345" customFormat="1">
      <c r="A24" s="342" t="s">
        <v>127</v>
      </c>
      <c r="B24" s="353" t="s">
        <v>411</v>
      </c>
      <c r="C24" s="353" t="s">
        <v>411</v>
      </c>
      <c r="D24" s="354">
        <v>165730</v>
      </c>
      <c r="E24" s="353" t="s">
        <v>411</v>
      </c>
      <c r="F24" s="354">
        <v>400000</v>
      </c>
      <c r="G24" s="353" t="s">
        <v>411</v>
      </c>
      <c r="H24" s="353" t="s">
        <v>411</v>
      </c>
      <c r="I24" s="354">
        <v>6842</v>
      </c>
      <c r="J24" s="416">
        <f t="shared" si="0"/>
        <v>572572</v>
      </c>
      <c r="K24" s="353" t="s">
        <v>411</v>
      </c>
      <c r="L24" s="353" t="s">
        <v>411</v>
      </c>
      <c r="M24" s="354">
        <v>165607</v>
      </c>
      <c r="N24" s="353" t="s">
        <v>411</v>
      </c>
      <c r="O24" s="354">
        <v>400000</v>
      </c>
      <c r="P24" s="353" t="s">
        <v>411</v>
      </c>
      <c r="Q24" s="353" t="s">
        <v>411</v>
      </c>
      <c r="R24" s="354">
        <v>6842</v>
      </c>
      <c r="S24" s="416">
        <f t="shared" si="1"/>
        <v>572449</v>
      </c>
      <c r="T24" s="355">
        <f t="shared" si="2"/>
        <v>0.99978517985510995</v>
      </c>
    </row>
    <row r="25" spans="1:20" s="345" customFormat="1">
      <c r="A25" s="342" t="s">
        <v>128</v>
      </c>
      <c r="B25" s="356" t="s">
        <v>411</v>
      </c>
      <c r="C25" s="356" t="s">
        <v>411</v>
      </c>
      <c r="D25" s="357">
        <v>149750</v>
      </c>
      <c r="E25" s="356" t="s">
        <v>411</v>
      </c>
      <c r="F25" s="357">
        <v>545000</v>
      </c>
      <c r="G25" s="356" t="s">
        <v>411</v>
      </c>
      <c r="H25" s="356" t="s">
        <v>411</v>
      </c>
      <c r="I25" s="357">
        <v>6384</v>
      </c>
      <c r="J25" s="416">
        <f t="shared" si="0"/>
        <v>701134</v>
      </c>
      <c r="K25" s="356" t="s">
        <v>411</v>
      </c>
      <c r="L25" s="356" t="s">
        <v>411</v>
      </c>
      <c r="M25" s="357">
        <v>130802</v>
      </c>
      <c r="N25" s="356" t="s">
        <v>411</v>
      </c>
      <c r="O25" s="357">
        <v>536000</v>
      </c>
      <c r="P25" s="356" t="s">
        <v>411</v>
      </c>
      <c r="Q25" s="356" t="s">
        <v>411</v>
      </c>
      <c r="R25" s="357">
        <v>6384</v>
      </c>
      <c r="S25" s="416">
        <f t="shared" si="1"/>
        <v>673186</v>
      </c>
      <c r="T25" s="355">
        <f t="shared" si="2"/>
        <v>0.96013886075985477</v>
      </c>
    </row>
    <row r="26" spans="1:20" s="345" customFormat="1">
      <c r="A26" s="342" t="s">
        <v>129</v>
      </c>
      <c r="B26" s="353" t="s">
        <v>411</v>
      </c>
      <c r="C26" s="353" t="s">
        <v>411</v>
      </c>
      <c r="D26" s="354">
        <v>70650</v>
      </c>
      <c r="E26" s="353" t="s">
        <v>411</v>
      </c>
      <c r="F26" s="354">
        <v>258400</v>
      </c>
      <c r="G26" s="353" t="s">
        <v>411</v>
      </c>
      <c r="H26" s="353" t="s">
        <v>411</v>
      </c>
      <c r="I26" s="353" t="s">
        <v>411</v>
      </c>
      <c r="J26" s="416">
        <f t="shared" si="0"/>
        <v>329050</v>
      </c>
      <c r="K26" s="353" t="s">
        <v>411</v>
      </c>
      <c r="L26" s="353" t="s">
        <v>411</v>
      </c>
      <c r="M26" s="354">
        <v>70645</v>
      </c>
      <c r="N26" s="353" t="s">
        <v>411</v>
      </c>
      <c r="O26" s="354">
        <v>258400</v>
      </c>
      <c r="P26" s="353" t="s">
        <v>411</v>
      </c>
      <c r="Q26" s="353" t="s">
        <v>411</v>
      </c>
      <c r="R26" s="353" t="s">
        <v>411</v>
      </c>
      <c r="S26" s="416">
        <f t="shared" si="1"/>
        <v>329045</v>
      </c>
      <c r="T26" s="355">
        <f t="shared" si="2"/>
        <v>0.99998480474092089</v>
      </c>
    </row>
    <row r="27" spans="1:20" s="362" customFormat="1">
      <c r="A27" s="346" t="s">
        <v>439</v>
      </c>
      <c r="B27" s="359">
        <f>SUM(B14:B26)</f>
        <v>0</v>
      </c>
      <c r="C27" s="359">
        <f t="shared" ref="C27:R27" si="4">SUM(C14:C26)</f>
        <v>0</v>
      </c>
      <c r="D27" s="359">
        <f t="shared" si="4"/>
        <v>1978815</v>
      </c>
      <c r="E27" s="359">
        <f t="shared" si="4"/>
        <v>0</v>
      </c>
      <c r="F27" s="359">
        <f t="shared" si="4"/>
        <v>2922300</v>
      </c>
      <c r="G27" s="359">
        <f t="shared" si="4"/>
        <v>0</v>
      </c>
      <c r="H27" s="359">
        <f t="shared" si="4"/>
        <v>2029000</v>
      </c>
      <c r="I27" s="359">
        <f t="shared" si="4"/>
        <v>6587029.6799999997</v>
      </c>
      <c r="J27" s="416">
        <f t="shared" si="0"/>
        <v>13517144.68</v>
      </c>
      <c r="K27" s="359">
        <f t="shared" si="4"/>
        <v>0</v>
      </c>
      <c r="L27" s="359">
        <f t="shared" si="4"/>
        <v>0</v>
      </c>
      <c r="M27" s="359">
        <f t="shared" si="4"/>
        <v>1897223.32</v>
      </c>
      <c r="N27" s="359">
        <f t="shared" si="4"/>
        <v>0</v>
      </c>
      <c r="O27" s="359">
        <f t="shared" si="4"/>
        <v>2054800</v>
      </c>
      <c r="P27" s="359">
        <f t="shared" si="4"/>
        <v>0</v>
      </c>
      <c r="Q27" s="359">
        <f t="shared" si="4"/>
        <v>2029000</v>
      </c>
      <c r="R27" s="359">
        <f t="shared" si="4"/>
        <v>6587029.6799999997</v>
      </c>
      <c r="S27" s="416">
        <f t="shared" si="1"/>
        <v>12568053</v>
      </c>
      <c r="T27" s="355">
        <f t="shared" si="2"/>
        <v>0.92978608260335649</v>
      </c>
    </row>
    <row r="28" spans="1:20" s="345" customFormat="1">
      <c r="A28" s="342" t="s">
        <v>130</v>
      </c>
      <c r="B28" s="356" t="s">
        <v>411</v>
      </c>
      <c r="C28" s="356" t="s">
        <v>411</v>
      </c>
      <c r="D28" s="357">
        <v>2046460</v>
      </c>
      <c r="E28" s="356" t="s">
        <v>411</v>
      </c>
      <c r="F28" s="357">
        <v>1469100</v>
      </c>
      <c r="G28" s="356" t="s">
        <v>411</v>
      </c>
      <c r="H28" s="357">
        <v>1596400</v>
      </c>
      <c r="I28" s="357">
        <v>4175637.2</v>
      </c>
      <c r="J28" s="416">
        <f t="shared" si="0"/>
        <v>9287597.1999999993</v>
      </c>
      <c r="K28" s="356" t="s">
        <v>411</v>
      </c>
      <c r="L28" s="356" t="s">
        <v>411</v>
      </c>
      <c r="M28" s="357">
        <v>1788712.49</v>
      </c>
      <c r="N28" s="356" t="s">
        <v>411</v>
      </c>
      <c r="O28" s="357">
        <v>1469100</v>
      </c>
      <c r="P28" s="356" t="s">
        <v>411</v>
      </c>
      <c r="Q28" s="357">
        <v>1596400</v>
      </c>
      <c r="R28" s="357">
        <v>4175637.2</v>
      </c>
      <c r="S28" s="416">
        <f t="shared" si="1"/>
        <v>9029849.6900000013</v>
      </c>
      <c r="T28" s="355">
        <f t="shared" si="2"/>
        <v>0.97224820322741845</v>
      </c>
    </row>
    <row r="29" spans="1:20" s="345" customFormat="1">
      <c r="A29" s="342" t="s">
        <v>131</v>
      </c>
      <c r="B29" s="353" t="s">
        <v>411</v>
      </c>
      <c r="C29" s="353" t="s">
        <v>411</v>
      </c>
      <c r="D29" s="354">
        <v>101960</v>
      </c>
      <c r="E29" s="353" t="s">
        <v>411</v>
      </c>
      <c r="F29" s="353" t="s">
        <v>411</v>
      </c>
      <c r="G29" s="353" t="s">
        <v>411</v>
      </c>
      <c r="H29" s="353" t="s">
        <v>411</v>
      </c>
      <c r="I29" s="354">
        <v>27788</v>
      </c>
      <c r="J29" s="416">
        <f t="shared" si="0"/>
        <v>129748</v>
      </c>
      <c r="K29" s="353" t="s">
        <v>411</v>
      </c>
      <c r="L29" s="353" t="s">
        <v>411</v>
      </c>
      <c r="M29" s="354">
        <v>98130</v>
      </c>
      <c r="N29" s="353" t="s">
        <v>411</v>
      </c>
      <c r="O29" s="353" t="s">
        <v>411</v>
      </c>
      <c r="P29" s="353" t="s">
        <v>411</v>
      </c>
      <c r="Q29" s="353" t="s">
        <v>411</v>
      </c>
      <c r="R29" s="354">
        <v>27788</v>
      </c>
      <c r="S29" s="416">
        <f t="shared" si="1"/>
        <v>125918</v>
      </c>
      <c r="T29" s="355">
        <f t="shared" si="2"/>
        <v>0.97048124055862128</v>
      </c>
    </row>
    <row r="30" spans="1:20" s="345" customFormat="1">
      <c r="A30" s="342" t="s">
        <v>132</v>
      </c>
      <c r="B30" s="356" t="s">
        <v>411</v>
      </c>
      <c r="C30" s="356" t="s">
        <v>411</v>
      </c>
      <c r="D30" s="357">
        <v>98000</v>
      </c>
      <c r="E30" s="356" t="s">
        <v>411</v>
      </c>
      <c r="F30" s="356" t="s">
        <v>411</v>
      </c>
      <c r="G30" s="356" t="s">
        <v>411</v>
      </c>
      <c r="H30" s="356" t="s">
        <v>411</v>
      </c>
      <c r="I30" s="357">
        <v>12008</v>
      </c>
      <c r="J30" s="416">
        <f t="shared" si="0"/>
        <v>110008</v>
      </c>
      <c r="K30" s="356" t="s">
        <v>411</v>
      </c>
      <c r="L30" s="356" t="s">
        <v>411</v>
      </c>
      <c r="M30" s="357">
        <v>82502</v>
      </c>
      <c r="N30" s="356" t="s">
        <v>411</v>
      </c>
      <c r="O30" s="356" t="s">
        <v>411</v>
      </c>
      <c r="P30" s="356" t="s">
        <v>411</v>
      </c>
      <c r="Q30" s="356" t="s">
        <v>411</v>
      </c>
      <c r="R30" s="357">
        <v>12008</v>
      </c>
      <c r="S30" s="416">
        <f t="shared" si="1"/>
        <v>94510</v>
      </c>
      <c r="T30" s="355">
        <f t="shared" si="2"/>
        <v>0.85911933677550723</v>
      </c>
    </row>
    <row r="31" spans="1:20" s="345" customFormat="1">
      <c r="A31" s="342" t="s">
        <v>133</v>
      </c>
      <c r="B31" s="353" t="s">
        <v>411</v>
      </c>
      <c r="C31" s="353" t="s">
        <v>411</v>
      </c>
      <c r="D31" s="354">
        <v>201960</v>
      </c>
      <c r="E31" s="353" t="s">
        <v>411</v>
      </c>
      <c r="F31" s="353" t="s">
        <v>411</v>
      </c>
      <c r="G31" s="353" t="s">
        <v>411</v>
      </c>
      <c r="H31" s="353" t="s">
        <v>411</v>
      </c>
      <c r="I31" s="354">
        <v>74182</v>
      </c>
      <c r="J31" s="416">
        <f t="shared" si="0"/>
        <v>276142</v>
      </c>
      <c r="K31" s="353" t="s">
        <v>411</v>
      </c>
      <c r="L31" s="353" t="s">
        <v>411</v>
      </c>
      <c r="M31" s="354">
        <v>190429.75</v>
      </c>
      <c r="N31" s="353" t="s">
        <v>411</v>
      </c>
      <c r="O31" s="353" t="s">
        <v>411</v>
      </c>
      <c r="P31" s="353" t="s">
        <v>411</v>
      </c>
      <c r="Q31" s="353" t="s">
        <v>411</v>
      </c>
      <c r="R31" s="354">
        <v>74182</v>
      </c>
      <c r="S31" s="416">
        <f t="shared" si="1"/>
        <v>264611.75</v>
      </c>
      <c r="T31" s="355">
        <f t="shared" si="2"/>
        <v>0.95824521441866861</v>
      </c>
    </row>
    <row r="32" spans="1:20" s="345" customFormat="1">
      <c r="A32" s="342" t="s">
        <v>134</v>
      </c>
      <c r="B32" s="356" t="s">
        <v>411</v>
      </c>
      <c r="C32" s="356" t="s">
        <v>411</v>
      </c>
      <c r="D32" s="357">
        <v>107700</v>
      </c>
      <c r="E32" s="356" t="s">
        <v>411</v>
      </c>
      <c r="F32" s="356" t="s">
        <v>411</v>
      </c>
      <c r="G32" s="356" t="s">
        <v>411</v>
      </c>
      <c r="H32" s="356" t="s">
        <v>411</v>
      </c>
      <c r="I32" s="357">
        <v>18146</v>
      </c>
      <c r="J32" s="416">
        <f t="shared" si="0"/>
        <v>125846</v>
      </c>
      <c r="K32" s="356" t="s">
        <v>411</v>
      </c>
      <c r="L32" s="356" t="s">
        <v>411</v>
      </c>
      <c r="M32" s="357">
        <v>99908</v>
      </c>
      <c r="N32" s="356" t="s">
        <v>411</v>
      </c>
      <c r="O32" s="356" t="s">
        <v>411</v>
      </c>
      <c r="P32" s="356" t="s">
        <v>411</v>
      </c>
      <c r="Q32" s="356" t="s">
        <v>411</v>
      </c>
      <c r="R32" s="357">
        <v>18146</v>
      </c>
      <c r="S32" s="416">
        <f t="shared" si="1"/>
        <v>118054</v>
      </c>
      <c r="T32" s="355">
        <f t="shared" si="2"/>
        <v>0.9380830538912639</v>
      </c>
    </row>
    <row r="33" spans="1:20" s="345" customFormat="1">
      <c r="A33" s="342" t="s">
        <v>135</v>
      </c>
      <c r="B33" s="353" t="s">
        <v>411</v>
      </c>
      <c r="C33" s="353" t="s">
        <v>411</v>
      </c>
      <c r="D33" s="354">
        <v>90860</v>
      </c>
      <c r="E33" s="353" t="s">
        <v>411</v>
      </c>
      <c r="F33" s="353" t="s">
        <v>411</v>
      </c>
      <c r="G33" s="353" t="s">
        <v>411</v>
      </c>
      <c r="H33" s="353" t="s">
        <v>411</v>
      </c>
      <c r="I33" s="354">
        <v>4660</v>
      </c>
      <c r="J33" s="416">
        <f t="shared" si="0"/>
        <v>95520</v>
      </c>
      <c r="K33" s="353" t="s">
        <v>411</v>
      </c>
      <c r="L33" s="353" t="s">
        <v>411</v>
      </c>
      <c r="M33" s="354">
        <v>88320</v>
      </c>
      <c r="N33" s="353" t="s">
        <v>411</v>
      </c>
      <c r="O33" s="353" t="s">
        <v>411</v>
      </c>
      <c r="P33" s="353" t="s">
        <v>411</v>
      </c>
      <c r="Q33" s="353" t="s">
        <v>411</v>
      </c>
      <c r="R33" s="354">
        <v>4660</v>
      </c>
      <c r="S33" s="416">
        <f t="shared" si="1"/>
        <v>92980</v>
      </c>
      <c r="T33" s="355">
        <f t="shared" si="2"/>
        <v>0.97340871021775544</v>
      </c>
    </row>
    <row r="34" spans="1:20" s="345" customFormat="1">
      <c r="A34" s="342" t="s">
        <v>136</v>
      </c>
      <c r="B34" s="356" t="s">
        <v>411</v>
      </c>
      <c r="C34" s="356" t="s">
        <v>411</v>
      </c>
      <c r="D34" s="357">
        <v>87480</v>
      </c>
      <c r="E34" s="356" t="s">
        <v>411</v>
      </c>
      <c r="F34" s="356" t="s">
        <v>411</v>
      </c>
      <c r="G34" s="356" t="s">
        <v>411</v>
      </c>
      <c r="H34" s="356" t="s">
        <v>411</v>
      </c>
      <c r="I34" s="357">
        <v>18629</v>
      </c>
      <c r="J34" s="416">
        <f t="shared" si="0"/>
        <v>106109</v>
      </c>
      <c r="K34" s="356" t="s">
        <v>411</v>
      </c>
      <c r="L34" s="356" t="s">
        <v>411</v>
      </c>
      <c r="M34" s="357">
        <v>83146</v>
      </c>
      <c r="N34" s="356" t="s">
        <v>411</v>
      </c>
      <c r="O34" s="356" t="s">
        <v>411</v>
      </c>
      <c r="P34" s="356" t="s">
        <v>411</v>
      </c>
      <c r="Q34" s="356" t="s">
        <v>411</v>
      </c>
      <c r="R34" s="357">
        <v>18629</v>
      </c>
      <c r="S34" s="416">
        <f t="shared" si="1"/>
        <v>101775</v>
      </c>
      <c r="T34" s="355">
        <f t="shared" si="2"/>
        <v>0.95915520832351642</v>
      </c>
    </row>
    <row r="35" spans="1:20" s="345" customFormat="1">
      <c r="A35" s="342" t="s">
        <v>137</v>
      </c>
      <c r="B35" s="353" t="s">
        <v>411</v>
      </c>
      <c r="C35" s="353" t="s">
        <v>411</v>
      </c>
      <c r="D35" s="354">
        <v>198120</v>
      </c>
      <c r="E35" s="353" t="s">
        <v>411</v>
      </c>
      <c r="F35" s="353" t="s">
        <v>411</v>
      </c>
      <c r="G35" s="353" t="s">
        <v>411</v>
      </c>
      <c r="H35" s="353" t="s">
        <v>411</v>
      </c>
      <c r="I35" s="354">
        <v>41668</v>
      </c>
      <c r="J35" s="416">
        <f t="shared" si="0"/>
        <v>239788</v>
      </c>
      <c r="K35" s="353" t="s">
        <v>411</v>
      </c>
      <c r="L35" s="353" t="s">
        <v>411</v>
      </c>
      <c r="M35" s="354">
        <v>156225</v>
      </c>
      <c r="N35" s="353" t="s">
        <v>411</v>
      </c>
      <c r="O35" s="353" t="s">
        <v>411</v>
      </c>
      <c r="P35" s="353" t="s">
        <v>411</v>
      </c>
      <c r="Q35" s="353" t="s">
        <v>411</v>
      </c>
      <c r="R35" s="354">
        <v>41668</v>
      </c>
      <c r="S35" s="416">
        <f t="shared" si="1"/>
        <v>197893</v>
      </c>
      <c r="T35" s="355">
        <f t="shared" si="2"/>
        <v>0.8252831667973376</v>
      </c>
    </row>
    <row r="36" spans="1:20" s="345" customFormat="1">
      <c r="A36" s="342" t="s">
        <v>138</v>
      </c>
      <c r="B36" s="353" t="s">
        <v>411</v>
      </c>
      <c r="C36" s="353" t="s">
        <v>411</v>
      </c>
      <c r="D36" s="354">
        <v>173200</v>
      </c>
      <c r="E36" s="353" t="s">
        <v>411</v>
      </c>
      <c r="F36" s="353" t="s">
        <v>411</v>
      </c>
      <c r="G36" s="353" t="s">
        <v>411</v>
      </c>
      <c r="H36" s="353" t="s">
        <v>411</v>
      </c>
      <c r="I36" s="354">
        <v>6280</v>
      </c>
      <c r="J36" s="416">
        <f t="shared" si="0"/>
        <v>179480</v>
      </c>
      <c r="K36" s="353" t="s">
        <v>411</v>
      </c>
      <c r="L36" s="353" t="s">
        <v>411</v>
      </c>
      <c r="M36" s="354">
        <v>168476</v>
      </c>
      <c r="N36" s="353" t="s">
        <v>411</v>
      </c>
      <c r="O36" s="353" t="s">
        <v>411</v>
      </c>
      <c r="P36" s="353" t="s">
        <v>411</v>
      </c>
      <c r="Q36" s="353" t="s">
        <v>411</v>
      </c>
      <c r="R36" s="354">
        <v>6280</v>
      </c>
      <c r="S36" s="416">
        <f t="shared" si="1"/>
        <v>174756</v>
      </c>
      <c r="T36" s="355">
        <f t="shared" si="2"/>
        <v>0.97367951860931579</v>
      </c>
    </row>
    <row r="37" spans="1:20" s="345" customFormat="1">
      <c r="A37" s="342" t="s">
        <v>139</v>
      </c>
      <c r="B37" s="356" t="s">
        <v>411</v>
      </c>
      <c r="C37" s="356" t="s">
        <v>411</v>
      </c>
      <c r="D37" s="357">
        <v>108040</v>
      </c>
      <c r="E37" s="356" t="s">
        <v>411</v>
      </c>
      <c r="F37" s="356" t="s">
        <v>411</v>
      </c>
      <c r="G37" s="356" t="s">
        <v>411</v>
      </c>
      <c r="H37" s="356" t="s">
        <v>411</v>
      </c>
      <c r="I37" s="357">
        <v>32118</v>
      </c>
      <c r="J37" s="416">
        <f t="shared" si="0"/>
        <v>140158</v>
      </c>
      <c r="K37" s="356" t="s">
        <v>411</v>
      </c>
      <c r="L37" s="356" t="s">
        <v>411</v>
      </c>
      <c r="M37" s="357">
        <v>90092.72</v>
      </c>
      <c r="N37" s="356" t="s">
        <v>411</v>
      </c>
      <c r="O37" s="356" t="s">
        <v>411</v>
      </c>
      <c r="P37" s="356" t="s">
        <v>411</v>
      </c>
      <c r="Q37" s="356" t="s">
        <v>411</v>
      </c>
      <c r="R37" s="357">
        <v>32118</v>
      </c>
      <c r="S37" s="416">
        <f t="shared" si="1"/>
        <v>122210.72</v>
      </c>
      <c r="T37" s="355">
        <f t="shared" si="2"/>
        <v>0.87194965681587921</v>
      </c>
    </row>
    <row r="38" spans="1:20" s="345" customFormat="1">
      <c r="A38" s="342" t="s">
        <v>140</v>
      </c>
      <c r="B38" s="353" t="s">
        <v>411</v>
      </c>
      <c r="C38" s="353" t="s">
        <v>411</v>
      </c>
      <c r="D38" s="354">
        <v>73900</v>
      </c>
      <c r="E38" s="353" t="s">
        <v>411</v>
      </c>
      <c r="F38" s="353" t="s">
        <v>411</v>
      </c>
      <c r="G38" s="353" t="s">
        <v>411</v>
      </c>
      <c r="H38" s="353" t="s">
        <v>411</v>
      </c>
      <c r="I38" s="354">
        <v>1068</v>
      </c>
      <c r="J38" s="416">
        <f t="shared" si="0"/>
        <v>74968</v>
      </c>
      <c r="K38" s="353" t="s">
        <v>411</v>
      </c>
      <c r="L38" s="353" t="s">
        <v>411</v>
      </c>
      <c r="M38" s="354">
        <v>66828</v>
      </c>
      <c r="N38" s="353" t="s">
        <v>411</v>
      </c>
      <c r="O38" s="353" t="s">
        <v>411</v>
      </c>
      <c r="P38" s="353" t="s">
        <v>411</v>
      </c>
      <c r="Q38" s="353" t="s">
        <v>411</v>
      </c>
      <c r="R38" s="354">
        <v>1068</v>
      </c>
      <c r="S38" s="416">
        <f t="shared" si="1"/>
        <v>67896</v>
      </c>
      <c r="T38" s="355">
        <f t="shared" si="2"/>
        <v>0.90566641767153988</v>
      </c>
    </row>
    <row r="39" spans="1:20" s="345" customFormat="1">
      <c r="A39" s="342" t="s">
        <v>141</v>
      </c>
      <c r="B39" s="356" t="s">
        <v>411</v>
      </c>
      <c r="C39" s="356" t="s">
        <v>411</v>
      </c>
      <c r="D39" s="357">
        <v>81000</v>
      </c>
      <c r="E39" s="356" t="s">
        <v>411</v>
      </c>
      <c r="F39" s="356" t="s">
        <v>411</v>
      </c>
      <c r="G39" s="356" t="s">
        <v>411</v>
      </c>
      <c r="H39" s="356" t="s">
        <v>411</v>
      </c>
      <c r="I39" s="357">
        <v>22909</v>
      </c>
      <c r="J39" s="416">
        <f t="shared" si="0"/>
        <v>103909</v>
      </c>
      <c r="K39" s="356" t="s">
        <v>411</v>
      </c>
      <c r="L39" s="356" t="s">
        <v>411</v>
      </c>
      <c r="M39" s="357">
        <v>45000</v>
      </c>
      <c r="N39" s="356" t="s">
        <v>411</v>
      </c>
      <c r="O39" s="356" t="s">
        <v>411</v>
      </c>
      <c r="P39" s="356" t="s">
        <v>411</v>
      </c>
      <c r="Q39" s="356" t="s">
        <v>411</v>
      </c>
      <c r="R39" s="357">
        <v>22909</v>
      </c>
      <c r="S39" s="416">
        <f t="shared" si="1"/>
        <v>67909</v>
      </c>
      <c r="T39" s="355">
        <f t="shared" si="2"/>
        <v>0.65354300397463161</v>
      </c>
    </row>
    <row r="40" spans="1:20" s="345" customFormat="1">
      <c r="A40" s="342" t="s">
        <v>142</v>
      </c>
      <c r="B40" s="353" t="s">
        <v>411</v>
      </c>
      <c r="C40" s="353" t="s">
        <v>411</v>
      </c>
      <c r="D40" s="354">
        <v>67420</v>
      </c>
      <c r="E40" s="353" t="s">
        <v>411</v>
      </c>
      <c r="F40" s="353" t="s">
        <v>411</v>
      </c>
      <c r="G40" s="353" t="s">
        <v>411</v>
      </c>
      <c r="H40" s="353" t="s">
        <v>411</v>
      </c>
      <c r="I40" s="354">
        <v>20510</v>
      </c>
      <c r="J40" s="416">
        <f t="shared" si="0"/>
        <v>87930</v>
      </c>
      <c r="K40" s="353" t="s">
        <v>411</v>
      </c>
      <c r="L40" s="353" t="s">
        <v>411</v>
      </c>
      <c r="M40" s="354">
        <v>66150</v>
      </c>
      <c r="N40" s="353" t="s">
        <v>411</v>
      </c>
      <c r="O40" s="353" t="s">
        <v>411</v>
      </c>
      <c r="P40" s="353" t="s">
        <v>411</v>
      </c>
      <c r="Q40" s="353" t="s">
        <v>411</v>
      </c>
      <c r="R40" s="354">
        <v>20510</v>
      </c>
      <c r="S40" s="416">
        <f t="shared" si="1"/>
        <v>86660</v>
      </c>
      <c r="T40" s="355">
        <f t="shared" si="2"/>
        <v>0.98555669282383718</v>
      </c>
    </row>
    <row r="41" spans="1:20" s="362" customFormat="1">
      <c r="A41" s="346" t="s">
        <v>440</v>
      </c>
      <c r="B41" s="359">
        <f>SUM(B28:B40)</f>
        <v>0</v>
      </c>
      <c r="C41" s="359">
        <f t="shared" ref="C41:R41" si="5">SUM(C28:C40)</f>
        <v>0</v>
      </c>
      <c r="D41" s="359">
        <f t="shared" si="5"/>
        <v>3436100</v>
      </c>
      <c r="E41" s="359">
        <f t="shared" si="5"/>
        <v>0</v>
      </c>
      <c r="F41" s="359">
        <f t="shared" si="5"/>
        <v>1469100</v>
      </c>
      <c r="G41" s="359">
        <f t="shared" si="5"/>
        <v>0</v>
      </c>
      <c r="H41" s="359">
        <f t="shared" si="5"/>
        <v>1596400</v>
      </c>
      <c r="I41" s="359">
        <f t="shared" si="5"/>
        <v>4455603.2</v>
      </c>
      <c r="J41" s="416">
        <f t="shared" si="0"/>
        <v>10957203.199999999</v>
      </c>
      <c r="K41" s="359">
        <f t="shared" si="5"/>
        <v>0</v>
      </c>
      <c r="L41" s="359">
        <f t="shared" si="5"/>
        <v>0</v>
      </c>
      <c r="M41" s="359">
        <f t="shared" si="5"/>
        <v>3023919.9600000004</v>
      </c>
      <c r="N41" s="359">
        <f t="shared" si="5"/>
        <v>0</v>
      </c>
      <c r="O41" s="359">
        <f t="shared" si="5"/>
        <v>1469100</v>
      </c>
      <c r="P41" s="359">
        <f t="shared" si="5"/>
        <v>0</v>
      </c>
      <c r="Q41" s="359">
        <f t="shared" si="5"/>
        <v>1596400</v>
      </c>
      <c r="R41" s="359">
        <f t="shared" si="5"/>
        <v>4455603.2</v>
      </c>
      <c r="S41" s="416">
        <f t="shared" si="1"/>
        <v>10545023.16</v>
      </c>
      <c r="T41" s="355">
        <f t="shared" si="2"/>
        <v>0.96238273284920017</v>
      </c>
    </row>
    <row r="42" spans="1:20" s="345" customFormat="1">
      <c r="A42" s="342" t="s">
        <v>143</v>
      </c>
      <c r="B42" s="356" t="s">
        <v>411</v>
      </c>
      <c r="C42" s="356" t="s">
        <v>411</v>
      </c>
      <c r="D42" s="357">
        <v>748100</v>
      </c>
      <c r="E42" s="356" t="s">
        <v>411</v>
      </c>
      <c r="F42" s="356" t="s">
        <v>411</v>
      </c>
      <c r="G42" s="356" t="s">
        <v>411</v>
      </c>
      <c r="H42" s="357">
        <v>1774400</v>
      </c>
      <c r="I42" s="357">
        <v>5074618</v>
      </c>
      <c r="J42" s="416">
        <f t="shared" si="0"/>
        <v>7597118</v>
      </c>
      <c r="K42" s="356" t="s">
        <v>411</v>
      </c>
      <c r="L42" s="356" t="s">
        <v>411</v>
      </c>
      <c r="M42" s="357">
        <v>747437.24</v>
      </c>
      <c r="N42" s="356" t="s">
        <v>411</v>
      </c>
      <c r="O42" s="356" t="s">
        <v>411</v>
      </c>
      <c r="P42" s="356" t="s">
        <v>411</v>
      </c>
      <c r="Q42" s="357">
        <v>1774400</v>
      </c>
      <c r="R42" s="357">
        <v>5074618</v>
      </c>
      <c r="S42" s="416">
        <f t="shared" si="1"/>
        <v>7596455.2400000002</v>
      </c>
      <c r="T42" s="355">
        <f t="shared" si="2"/>
        <v>0.99991276165514342</v>
      </c>
    </row>
    <row r="43" spans="1:20" s="345" customFormat="1">
      <c r="A43" s="342" t="s">
        <v>144</v>
      </c>
      <c r="B43" s="353" t="s">
        <v>411</v>
      </c>
      <c r="C43" s="353" t="s">
        <v>411</v>
      </c>
      <c r="D43" s="354">
        <v>85910</v>
      </c>
      <c r="E43" s="353" t="s">
        <v>411</v>
      </c>
      <c r="F43" s="354">
        <v>748900</v>
      </c>
      <c r="G43" s="353" t="s">
        <v>411</v>
      </c>
      <c r="H43" s="353" t="s">
        <v>411</v>
      </c>
      <c r="I43" s="354">
        <v>25000</v>
      </c>
      <c r="J43" s="416">
        <f t="shared" si="0"/>
        <v>859810</v>
      </c>
      <c r="K43" s="353" t="s">
        <v>411</v>
      </c>
      <c r="L43" s="353" t="s">
        <v>411</v>
      </c>
      <c r="M43" s="354">
        <v>85870</v>
      </c>
      <c r="N43" s="353" t="s">
        <v>411</v>
      </c>
      <c r="O43" s="354">
        <v>748900</v>
      </c>
      <c r="P43" s="353" t="s">
        <v>411</v>
      </c>
      <c r="Q43" s="353" t="s">
        <v>411</v>
      </c>
      <c r="R43" s="354">
        <v>25000</v>
      </c>
      <c r="S43" s="416">
        <f t="shared" si="1"/>
        <v>859770</v>
      </c>
      <c r="T43" s="355">
        <f t="shared" si="2"/>
        <v>0.99995347809399748</v>
      </c>
    </row>
    <row r="44" spans="1:20" s="345" customFormat="1">
      <c r="A44" s="342" t="s">
        <v>145</v>
      </c>
      <c r="B44" s="356" t="s">
        <v>411</v>
      </c>
      <c r="C44" s="356" t="s">
        <v>411</v>
      </c>
      <c r="D44" s="357">
        <v>72410</v>
      </c>
      <c r="E44" s="356" t="s">
        <v>411</v>
      </c>
      <c r="F44" s="356" t="s">
        <v>411</v>
      </c>
      <c r="G44" s="356" t="s">
        <v>411</v>
      </c>
      <c r="H44" s="356" t="s">
        <v>411</v>
      </c>
      <c r="I44" s="357">
        <v>30000</v>
      </c>
      <c r="J44" s="416">
        <f t="shared" si="0"/>
        <v>102410</v>
      </c>
      <c r="K44" s="356" t="s">
        <v>411</v>
      </c>
      <c r="L44" s="356" t="s">
        <v>411</v>
      </c>
      <c r="M44" s="357">
        <v>72410</v>
      </c>
      <c r="N44" s="356" t="s">
        <v>411</v>
      </c>
      <c r="O44" s="356" t="s">
        <v>411</v>
      </c>
      <c r="P44" s="356" t="s">
        <v>411</v>
      </c>
      <c r="Q44" s="356" t="s">
        <v>411</v>
      </c>
      <c r="R44" s="357">
        <v>30000</v>
      </c>
      <c r="S44" s="416">
        <f t="shared" si="1"/>
        <v>102410</v>
      </c>
      <c r="T44" s="355">
        <f t="shared" si="2"/>
        <v>1</v>
      </c>
    </row>
    <row r="45" spans="1:20" s="345" customFormat="1">
      <c r="A45" s="342" t="s">
        <v>146</v>
      </c>
      <c r="B45" s="353" t="s">
        <v>411</v>
      </c>
      <c r="C45" s="353" t="s">
        <v>411</v>
      </c>
      <c r="D45" s="354">
        <v>138780</v>
      </c>
      <c r="E45" s="353" t="s">
        <v>411</v>
      </c>
      <c r="F45" s="353" t="s">
        <v>411</v>
      </c>
      <c r="G45" s="353" t="s">
        <v>411</v>
      </c>
      <c r="H45" s="353" t="s">
        <v>411</v>
      </c>
      <c r="I45" s="354">
        <v>25824</v>
      </c>
      <c r="J45" s="416">
        <f t="shared" si="0"/>
        <v>164604</v>
      </c>
      <c r="K45" s="353" t="s">
        <v>411</v>
      </c>
      <c r="L45" s="353" t="s">
        <v>411</v>
      </c>
      <c r="M45" s="354">
        <v>138051</v>
      </c>
      <c r="N45" s="353" t="s">
        <v>411</v>
      </c>
      <c r="O45" s="353" t="s">
        <v>411</v>
      </c>
      <c r="P45" s="353" t="s">
        <v>411</v>
      </c>
      <c r="Q45" s="353" t="s">
        <v>411</v>
      </c>
      <c r="R45" s="354">
        <v>25824</v>
      </c>
      <c r="S45" s="416">
        <f t="shared" si="1"/>
        <v>163875</v>
      </c>
      <c r="T45" s="355">
        <f t="shared" si="2"/>
        <v>0.99557118903550335</v>
      </c>
    </row>
    <row r="46" spans="1:20" s="345" customFormat="1">
      <c r="A46" s="342" t="s">
        <v>147</v>
      </c>
      <c r="B46" s="356" t="s">
        <v>411</v>
      </c>
      <c r="C46" s="356" t="s">
        <v>411</v>
      </c>
      <c r="D46" s="357">
        <v>166700</v>
      </c>
      <c r="E46" s="356" t="s">
        <v>411</v>
      </c>
      <c r="F46" s="356" t="s">
        <v>411</v>
      </c>
      <c r="G46" s="356" t="s">
        <v>411</v>
      </c>
      <c r="H46" s="356" t="s">
        <v>411</v>
      </c>
      <c r="I46" s="357">
        <v>30000</v>
      </c>
      <c r="J46" s="416">
        <f t="shared" si="0"/>
        <v>196700</v>
      </c>
      <c r="K46" s="356" t="s">
        <v>411</v>
      </c>
      <c r="L46" s="356" t="s">
        <v>411</v>
      </c>
      <c r="M46" s="357">
        <v>164753.5</v>
      </c>
      <c r="N46" s="356" t="s">
        <v>411</v>
      </c>
      <c r="O46" s="356" t="s">
        <v>411</v>
      </c>
      <c r="P46" s="356" t="s">
        <v>411</v>
      </c>
      <c r="Q46" s="356" t="s">
        <v>411</v>
      </c>
      <c r="R46" s="357">
        <v>30000</v>
      </c>
      <c r="S46" s="416">
        <f t="shared" si="1"/>
        <v>194753.5</v>
      </c>
      <c r="T46" s="355">
        <f t="shared" si="2"/>
        <v>0.99010421962379258</v>
      </c>
    </row>
    <row r="47" spans="1:20" s="345" customFormat="1">
      <c r="A47" s="342" t="s">
        <v>148</v>
      </c>
      <c r="B47" s="353" t="s">
        <v>411</v>
      </c>
      <c r="C47" s="353" t="s">
        <v>411</v>
      </c>
      <c r="D47" s="354">
        <v>58500</v>
      </c>
      <c r="E47" s="353" t="s">
        <v>411</v>
      </c>
      <c r="F47" s="353" t="s">
        <v>411</v>
      </c>
      <c r="G47" s="353" t="s">
        <v>411</v>
      </c>
      <c r="H47" s="353" t="s">
        <v>411</v>
      </c>
      <c r="I47" s="354">
        <v>29904</v>
      </c>
      <c r="J47" s="416">
        <f t="shared" si="0"/>
        <v>88404</v>
      </c>
      <c r="K47" s="353" t="s">
        <v>411</v>
      </c>
      <c r="L47" s="353" t="s">
        <v>411</v>
      </c>
      <c r="M47" s="354">
        <v>58500</v>
      </c>
      <c r="N47" s="353" t="s">
        <v>411</v>
      </c>
      <c r="O47" s="353" t="s">
        <v>411</v>
      </c>
      <c r="P47" s="353" t="s">
        <v>411</v>
      </c>
      <c r="Q47" s="353" t="s">
        <v>411</v>
      </c>
      <c r="R47" s="354">
        <v>29904</v>
      </c>
      <c r="S47" s="416">
        <f t="shared" si="1"/>
        <v>88404</v>
      </c>
      <c r="T47" s="355">
        <f t="shared" si="2"/>
        <v>1</v>
      </c>
    </row>
    <row r="48" spans="1:20" s="345" customFormat="1">
      <c r="A48" s="342" t="s">
        <v>149</v>
      </c>
      <c r="B48" s="356" t="s">
        <v>411</v>
      </c>
      <c r="C48" s="356" t="s">
        <v>411</v>
      </c>
      <c r="D48" s="357">
        <v>74400</v>
      </c>
      <c r="E48" s="356" t="s">
        <v>411</v>
      </c>
      <c r="F48" s="356" t="s">
        <v>411</v>
      </c>
      <c r="G48" s="356" t="s">
        <v>411</v>
      </c>
      <c r="H48" s="356" t="s">
        <v>411</v>
      </c>
      <c r="I48" s="357">
        <v>30000</v>
      </c>
      <c r="J48" s="416">
        <f t="shared" si="0"/>
        <v>104400</v>
      </c>
      <c r="K48" s="356" t="s">
        <v>411</v>
      </c>
      <c r="L48" s="356" t="s">
        <v>411</v>
      </c>
      <c r="M48" s="357">
        <v>73102</v>
      </c>
      <c r="N48" s="356" t="s">
        <v>411</v>
      </c>
      <c r="O48" s="356" t="s">
        <v>411</v>
      </c>
      <c r="P48" s="356" t="s">
        <v>411</v>
      </c>
      <c r="Q48" s="356" t="s">
        <v>411</v>
      </c>
      <c r="R48" s="357">
        <v>30000</v>
      </c>
      <c r="S48" s="416">
        <f t="shared" si="1"/>
        <v>103102</v>
      </c>
      <c r="T48" s="355">
        <f t="shared" si="2"/>
        <v>0.98756704980842913</v>
      </c>
    </row>
    <row r="49" spans="1:20" s="345" customFormat="1">
      <c r="A49" s="342" t="s">
        <v>150</v>
      </c>
      <c r="B49" s="353" t="s">
        <v>411</v>
      </c>
      <c r="C49" s="353" t="s">
        <v>411</v>
      </c>
      <c r="D49" s="354">
        <v>27000</v>
      </c>
      <c r="E49" s="353" t="s">
        <v>411</v>
      </c>
      <c r="F49" s="353" t="s">
        <v>411</v>
      </c>
      <c r="G49" s="353" t="s">
        <v>411</v>
      </c>
      <c r="H49" s="353" t="s">
        <v>411</v>
      </c>
      <c r="I49" s="354">
        <v>30000</v>
      </c>
      <c r="J49" s="416">
        <f t="shared" si="0"/>
        <v>57000</v>
      </c>
      <c r="K49" s="353" t="s">
        <v>411</v>
      </c>
      <c r="L49" s="353" t="s">
        <v>411</v>
      </c>
      <c r="M49" s="354">
        <v>25190</v>
      </c>
      <c r="N49" s="353" t="s">
        <v>411</v>
      </c>
      <c r="O49" s="353" t="s">
        <v>411</v>
      </c>
      <c r="P49" s="353" t="s">
        <v>411</v>
      </c>
      <c r="Q49" s="353" t="s">
        <v>411</v>
      </c>
      <c r="R49" s="354">
        <v>30000</v>
      </c>
      <c r="S49" s="416">
        <f t="shared" si="1"/>
        <v>55190</v>
      </c>
      <c r="T49" s="355">
        <f t="shared" si="2"/>
        <v>0.96824561403508769</v>
      </c>
    </row>
    <row r="50" spans="1:20" s="345" customFormat="1">
      <c r="A50" s="342" t="s">
        <v>151</v>
      </c>
      <c r="B50" s="356" t="s">
        <v>411</v>
      </c>
      <c r="C50" s="356" t="s">
        <v>411</v>
      </c>
      <c r="D50" s="357">
        <v>25000</v>
      </c>
      <c r="E50" s="356" t="s">
        <v>411</v>
      </c>
      <c r="F50" s="356" t="s">
        <v>411</v>
      </c>
      <c r="G50" s="356" t="s">
        <v>411</v>
      </c>
      <c r="H50" s="356" t="s">
        <v>411</v>
      </c>
      <c r="I50" s="357">
        <v>29940</v>
      </c>
      <c r="J50" s="416">
        <f t="shared" si="0"/>
        <v>54940</v>
      </c>
      <c r="K50" s="356" t="s">
        <v>411</v>
      </c>
      <c r="L50" s="356" t="s">
        <v>411</v>
      </c>
      <c r="M50" s="357">
        <v>24416.5</v>
      </c>
      <c r="N50" s="356" t="s">
        <v>411</v>
      </c>
      <c r="O50" s="356" t="s">
        <v>411</v>
      </c>
      <c r="P50" s="356" t="s">
        <v>411</v>
      </c>
      <c r="Q50" s="356" t="s">
        <v>411</v>
      </c>
      <c r="R50" s="357">
        <v>29940</v>
      </c>
      <c r="S50" s="416">
        <f t="shared" si="1"/>
        <v>54356.5</v>
      </c>
      <c r="T50" s="355">
        <f t="shared" si="2"/>
        <v>0.98937932289770658</v>
      </c>
    </row>
    <row r="51" spans="1:20" s="345" customFormat="1">
      <c r="A51" s="342" t="s">
        <v>152</v>
      </c>
      <c r="B51" s="353" t="s">
        <v>411</v>
      </c>
      <c r="C51" s="353" t="s">
        <v>411</v>
      </c>
      <c r="D51" s="354">
        <v>37400</v>
      </c>
      <c r="E51" s="353" t="s">
        <v>411</v>
      </c>
      <c r="F51" s="354">
        <v>221800</v>
      </c>
      <c r="G51" s="353" t="s">
        <v>411</v>
      </c>
      <c r="H51" s="353" t="s">
        <v>411</v>
      </c>
      <c r="I51" s="354">
        <v>30000</v>
      </c>
      <c r="J51" s="416">
        <f t="shared" si="0"/>
        <v>289200</v>
      </c>
      <c r="K51" s="353" t="s">
        <v>411</v>
      </c>
      <c r="L51" s="353" t="s">
        <v>411</v>
      </c>
      <c r="M51" s="354">
        <v>37400</v>
      </c>
      <c r="N51" s="353" t="s">
        <v>411</v>
      </c>
      <c r="O51" s="354">
        <v>221800</v>
      </c>
      <c r="P51" s="353" t="s">
        <v>411</v>
      </c>
      <c r="Q51" s="353" t="s">
        <v>411</v>
      </c>
      <c r="R51" s="354">
        <v>30000</v>
      </c>
      <c r="S51" s="416">
        <f t="shared" si="1"/>
        <v>289200</v>
      </c>
      <c r="T51" s="355">
        <f t="shared" si="2"/>
        <v>1</v>
      </c>
    </row>
    <row r="52" spans="1:20" s="345" customFormat="1">
      <c r="A52" s="342" t="s">
        <v>153</v>
      </c>
      <c r="B52" s="353" t="s">
        <v>411</v>
      </c>
      <c r="C52" s="353" t="s">
        <v>411</v>
      </c>
      <c r="D52" s="354">
        <v>316500</v>
      </c>
      <c r="E52" s="353" t="s">
        <v>411</v>
      </c>
      <c r="F52" s="353" t="s">
        <v>411</v>
      </c>
      <c r="G52" s="353" t="s">
        <v>411</v>
      </c>
      <c r="H52" s="353" t="s">
        <v>411</v>
      </c>
      <c r="I52" s="354">
        <v>85700</v>
      </c>
      <c r="J52" s="416">
        <f t="shared" si="0"/>
        <v>402200</v>
      </c>
      <c r="K52" s="353" t="s">
        <v>411</v>
      </c>
      <c r="L52" s="353" t="s">
        <v>411</v>
      </c>
      <c r="M52" s="354">
        <v>315327</v>
      </c>
      <c r="N52" s="353" t="s">
        <v>411</v>
      </c>
      <c r="O52" s="353" t="s">
        <v>411</v>
      </c>
      <c r="P52" s="353" t="s">
        <v>411</v>
      </c>
      <c r="Q52" s="353" t="s">
        <v>411</v>
      </c>
      <c r="R52" s="354">
        <v>85700</v>
      </c>
      <c r="S52" s="416">
        <f t="shared" si="1"/>
        <v>401027</v>
      </c>
      <c r="T52" s="355">
        <f t="shared" si="2"/>
        <v>0.99708354052710091</v>
      </c>
    </row>
    <row r="53" spans="1:20" s="345" customFormat="1">
      <c r="A53" s="342" t="s">
        <v>265</v>
      </c>
      <c r="B53" s="356" t="s">
        <v>411</v>
      </c>
      <c r="C53" s="356" t="s">
        <v>411</v>
      </c>
      <c r="D53" s="357">
        <v>36500</v>
      </c>
      <c r="E53" s="356" t="s">
        <v>411</v>
      </c>
      <c r="F53" s="356" t="s">
        <v>411</v>
      </c>
      <c r="G53" s="356" t="s">
        <v>411</v>
      </c>
      <c r="H53" s="356" t="s">
        <v>411</v>
      </c>
      <c r="I53" s="357">
        <v>30000</v>
      </c>
      <c r="J53" s="416">
        <f t="shared" si="0"/>
        <v>66500</v>
      </c>
      <c r="K53" s="356" t="s">
        <v>411</v>
      </c>
      <c r="L53" s="356" t="s">
        <v>411</v>
      </c>
      <c r="M53" s="357">
        <v>36500</v>
      </c>
      <c r="N53" s="356" t="s">
        <v>411</v>
      </c>
      <c r="O53" s="356" t="s">
        <v>411</v>
      </c>
      <c r="P53" s="356" t="s">
        <v>411</v>
      </c>
      <c r="Q53" s="356" t="s">
        <v>411</v>
      </c>
      <c r="R53" s="357">
        <v>30000</v>
      </c>
      <c r="S53" s="416">
        <f t="shared" si="1"/>
        <v>66500</v>
      </c>
      <c r="T53" s="355">
        <f t="shared" si="2"/>
        <v>1</v>
      </c>
    </row>
    <row r="54" spans="1:20" s="362" customFormat="1">
      <c r="A54" s="346" t="s">
        <v>434</v>
      </c>
      <c r="B54" s="363">
        <f>SUM(B42:B53)</f>
        <v>0</v>
      </c>
      <c r="C54" s="363">
        <f t="shared" ref="C54:R54" si="6">SUM(C42:C53)</f>
        <v>0</v>
      </c>
      <c r="D54" s="363">
        <f t="shared" si="6"/>
        <v>1787200</v>
      </c>
      <c r="E54" s="363">
        <f t="shared" si="6"/>
        <v>0</v>
      </c>
      <c r="F54" s="363">
        <f t="shared" si="6"/>
        <v>970700</v>
      </c>
      <c r="G54" s="363">
        <f t="shared" si="6"/>
        <v>0</v>
      </c>
      <c r="H54" s="363">
        <f t="shared" si="6"/>
        <v>1774400</v>
      </c>
      <c r="I54" s="363">
        <f t="shared" si="6"/>
        <v>5450986</v>
      </c>
      <c r="J54" s="416">
        <f t="shared" si="0"/>
        <v>9983286</v>
      </c>
      <c r="K54" s="363">
        <f t="shared" si="6"/>
        <v>0</v>
      </c>
      <c r="L54" s="363">
        <f t="shared" si="6"/>
        <v>0</v>
      </c>
      <c r="M54" s="363">
        <f t="shared" si="6"/>
        <v>1778957.24</v>
      </c>
      <c r="N54" s="363">
        <f t="shared" si="6"/>
        <v>0</v>
      </c>
      <c r="O54" s="363">
        <f t="shared" si="6"/>
        <v>970700</v>
      </c>
      <c r="P54" s="363">
        <f t="shared" si="6"/>
        <v>0</v>
      </c>
      <c r="Q54" s="363">
        <f t="shared" si="6"/>
        <v>1774400</v>
      </c>
      <c r="R54" s="363">
        <f t="shared" si="6"/>
        <v>5450986</v>
      </c>
      <c r="S54" s="416">
        <f t="shared" si="1"/>
        <v>9975043.2400000002</v>
      </c>
      <c r="T54" s="355">
        <f t="shared" si="2"/>
        <v>0.9991743439985592</v>
      </c>
    </row>
    <row r="55" spans="1:20" s="345" customFormat="1">
      <c r="A55" s="342" t="s">
        <v>154</v>
      </c>
      <c r="B55" s="353" t="s">
        <v>411</v>
      </c>
      <c r="C55" s="353" t="s">
        <v>411</v>
      </c>
      <c r="D55" s="354">
        <v>209320</v>
      </c>
      <c r="E55" s="353" t="s">
        <v>411</v>
      </c>
      <c r="F55" s="353" t="s">
        <v>411</v>
      </c>
      <c r="G55" s="353" t="s">
        <v>411</v>
      </c>
      <c r="H55" s="353" t="s">
        <v>411</v>
      </c>
      <c r="I55" s="354">
        <v>1937121.25</v>
      </c>
      <c r="J55" s="416">
        <f t="shared" si="0"/>
        <v>2146441.25</v>
      </c>
      <c r="K55" s="353" t="s">
        <v>411</v>
      </c>
      <c r="L55" s="353" t="s">
        <v>411</v>
      </c>
      <c r="M55" s="354">
        <v>200794</v>
      </c>
      <c r="N55" s="353" t="s">
        <v>411</v>
      </c>
      <c r="O55" s="353" t="s">
        <v>411</v>
      </c>
      <c r="P55" s="353" t="s">
        <v>411</v>
      </c>
      <c r="Q55" s="353" t="s">
        <v>411</v>
      </c>
      <c r="R55" s="354">
        <v>1937121.25</v>
      </c>
      <c r="S55" s="416">
        <f t="shared" si="1"/>
        <v>2137915.25</v>
      </c>
      <c r="T55" s="355">
        <f t="shared" si="2"/>
        <v>0.99602784376232056</v>
      </c>
    </row>
    <row r="56" spans="1:20" s="345" customFormat="1">
      <c r="A56" s="342" t="s">
        <v>155</v>
      </c>
      <c r="B56" s="356" t="s">
        <v>411</v>
      </c>
      <c r="C56" s="356" t="s">
        <v>411</v>
      </c>
      <c r="D56" s="357">
        <v>55400</v>
      </c>
      <c r="E56" s="356" t="s">
        <v>411</v>
      </c>
      <c r="F56" s="357">
        <v>800000</v>
      </c>
      <c r="G56" s="356" t="s">
        <v>411</v>
      </c>
      <c r="H56" s="357">
        <v>1387900</v>
      </c>
      <c r="I56" s="357">
        <v>41500</v>
      </c>
      <c r="J56" s="416">
        <f t="shared" si="0"/>
        <v>2284800</v>
      </c>
      <c r="K56" s="356" t="s">
        <v>411</v>
      </c>
      <c r="L56" s="356" t="s">
        <v>411</v>
      </c>
      <c r="M56" s="357">
        <v>55399.6</v>
      </c>
      <c r="N56" s="356" t="s">
        <v>411</v>
      </c>
      <c r="O56" s="357">
        <v>800000</v>
      </c>
      <c r="P56" s="356" t="s">
        <v>411</v>
      </c>
      <c r="Q56" s="357">
        <v>1387900</v>
      </c>
      <c r="R56" s="357">
        <v>41500</v>
      </c>
      <c r="S56" s="416">
        <f t="shared" si="1"/>
        <v>2284799.6</v>
      </c>
      <c r="T56" s="355">
        <f t="shared" si="2"/>
        <v>0.99999982492997208</v>
      </c>
    </row>
    <row r="57" spans="1:20" s="345" customFormat="1">
      <c r="A57" s="342" t="s">
        <v>156</v>
      </c>
      <c r="B57" s="353" t="s">
        <v>411</v>
      </c>
      <c r="C57" s="353" t="s">
        <v>411</v>
      </c>
      <c r="D57" s="354">
        <v>140660</v>
      </c>
      <c r="E57" s="353" t="s">
        <v>411</v>
      </c>
      <c r="F57" s="354">
        <v>925000</v>
      </c>
      <c r="G57" s="353" t="s">
        <v>411</v>
      </c>
      <c r="H57" s="353" t="s">
        <v>411</v>
      </c>
      <c r="I57" s="354">
        <v>20850</v>
      </c>
      <c r="J57" s="416">
        <f t="shared" si="0"/>
        <v>1086510</v>
      </c>
      <c r="K57" s="353" t="s">
        <v>411</v>
      </c>
      <c r="L57" s="353" t="s">
        <v>411</v>
      </c>
      <c r="M57" s="354">
        <v>140574</v>
      </c>
      <c r="N57" s="353" t="s">
        <v>411</v>
      </c>
      <c r="O57" s="354">
        <v>925000</v>
      </c>
      <c r="P57" s="353" t="s">
        <v>411</v>
      </c>
      <c r="Q57" s="353" t="s">
        <v>411</v>
      </c>
      <c r="R57" s="354">
        <v>20850</v>
      </c>
      <c r="S57" s="416">
        <f t="shared" si="1"/>
        <v>1086424</v>
      </c>
      <c r="T57" s="355">
        <f t="shared" si="2"/>
        <v>0.99992084748414645</v>
      </c>
    </row>
    <row r="58" spans="1:20" s="345" customFormat="1">
      <c r="A58" s="342" t="s">
        <v>157</v>
      </c>
      <c r="B58" s="356" t="s">
        <v>411</v>
      </c>
      <c r="C58" s="356" t="s">
        <v>411</v>
      </c>
      <c r="D58" s="357">
        <v>94550</v>
      </c>
      <c r="E58" s="356" t="s">
        <v>411</v>
      </c>
      <c r="F58" s="356" t="s">
        <v>411</v>
      </c>
      <c r="G58" s="356" t="s">
        <v>411</v>
      </c>
      <c r="H58" s="357">
        <v>276200</v>
      </c>
      <c r="I58" s="357">
        <v>36800</v>
      </c>
      <c r="J58" s="416">
        <f t="shared" si="0"/>
        <v>407550</v>
      </c>
      <c r="K58" s="356" t="s">
        <v>411</v>
      </c>
      <c r="L58" s="356" t="s">
        <v>411</v>
      </c>
      <c r="M58" s="357">
        <v>93548</v>
      </c>
      <c r="N58" s="356" t="s">
        <v>411</v>
      </c>
      <c r="O58" s="356" t="s">
        <v>411</v>
      </c>
      <c r="P58" s="356" t="s">
        <v>411</v>
      </c>
      <c r="Q58" s="357">
        <v>276200</v>
      </c>
      <c r="R58" s="357">
        <v>36800</v>
      </c>
      <c r="S58" s="416">
        <f t="shared" si="1"/>
        <v>406548</v>
      </c>
      <c r="T58" s="355">
        <f t="shared" si="2"/>
        <v>0.99754140596245855</v>
      </c>
    </row>
    <row r="59" spans="1:20" s="345" customFormat="1">
      <c r="A59" s="342" t="s">
        <v>158</v>
      </c>
      <c r="B59" s="353" t="s">
        <v>411</v>
      </c>
      <c r="C59" s="353" t="s">
        <v>411</v>
      </c>
      <c r="D59" s="354">
        <v>88460</v>
      </c>
      <c r="E59" s="353" t="s">
        <v>411</v>
      </c>
      <c r="F59" s="353" t="s">
        <v>411</v>
      </c>
      <c r="G59" s="353" t="s">
        <v>411</v>
      </c>
      <c r="H59" s="354">
        <v>448800</v>
      </c>
      <c r="I59" s="354">
        <v>33882</v>
      </c>
      <c r="J59" s="416">
        <f t="shared" si="0"/>
        <v>571142</v>
      </c>
      <c r="K59" s="353" t="s">
        <v>411</v>
      </c>
      <c r="L59" s="353" t="s">
        <v>411</v>
      </c>
      <c r="M59" s="354">
        <v>82722</v>
      </c>
      <c r="N59" s="353" t="s">
        <v>411</v>
      </c>
      <c r="O59" s="353" t="s">
        <v>411</v>
      </c>
      <c r="P59" s="353" t="s">
        <v>411</v>
      </c>
      <c r="Q59" s="354">
        <v>448800</v>
      </c>
      <c r="R59" s="354">
        <v>33882</v>
      </c>
      <c r="S59" s="416">
        <f t="shared" si="1"/>
        <v>565404</v>
      </c>
      <c r="T59" s="355">
        <f t="shared" si="2"/>
        <v>0.98995346166102305</v>
      </c>
    </row>
    <row r="60" spans="1:20" s="345" customFormat="1">
      <c r="A60" s="342" t="s">
        <v>159</v>
      </c>
      <c r="B60" s="356" t="s">
        <v>411</v>
      </c>
      <c r="C60" s="356" t="s">
        <v>411</v>
      </c>
      <c r="D60" s="357">
        <v>59750</v>
      </c>
      <c r="E60" s="356" t="s">
        <v>411</v>
      </c>
      <c r="F60" s="356" t="s">
        <v>411</v>
      </c>
      <c r="G60" s="356" t="s">
        <v>411</v>
      </c>
      <c r="H60" s="357">
        <v>310700</v>
      </c>
      <c r="I60" s="357">
        <v>40530</v>
      </c>
      <c r="J60" s="416">
        <f t="shared" si="0"/>
        <v>410980</v>
      </c>
      <c r="K60" s="356" t="s">
        <v>411</v>
      </c>
      <c r="L60" s="356" t="s">
        <v>411</v>
      </c>
      <c r="M60" s="357">
        <v>59650</v>
      </c>
      <c r="N60" s="356" t="s">
        <v>411</v>
      </c>
      <c r="O60" s="356" t="s">
        <v>411</v>
      </c>
      <c r="P60" s="356" t="s">
        <v>411</v>
      </c>
      <c r="Q60" s="357">
        <v>310700</v>
      </c>
      <c r="R60" s="357">
        <v>40530</v>
      </c>
      <c r="S60" s="416">
        <f t="shared" si="1"/>
        <v>410880</v>
      </c>
      <c r="T60" s="355">
        <f t="shared" si="2"/>
        <v>0.99975667915713662</v>
      </c>
    </row>
    <row r="61" spans="1:20" s="345" customFormat="1">
      <c r="A61" s="342" t="s">
        <v>160</v>
      </c>
      <c r="B61" s="353" t="s">
        <v>411</v>
      </c>
      <c r="C61" s="353" t="s">
        <v>411</v>
      </c>
      <c r="D61" s="354">
        <v>141530</v>
      </c>
      <c r="E61" s="353" t="s">
        <v>411</v>
      </c>
      <c r="F61" s="353" t="s">
        <v>411</v>
      </c>
      <c r="G61" s="353" t="s">
        <v>411</v>
      </c>
      <c r="H61" s="353" t="s">
        <v>411</v>
      </c>
      <c r="I61" s="354">
        <v>40178</v>
      </c>
      <c r="J61" s="416">
        <f t="shared" si="0"/>
        <v>181708</v>
      </c>
      <c r="K61" s="353" t="s">
        <v>411</v>
      </c>
      <c r="L61" s="353" t="s">
        <v>411</v>
      </c>
      <c r="M61" s="354">
        <v>131765.20000000001</v>
      </c>
      <c r="N61" s="353" t="s">
        <v>411</v>
      </c>
      <c r="O61" s="353" t="s">
        <v>411</v>
      </c>
      <c r="P61" s="353" t="s">
        <v>411</v>
      </c>
      <c r="Q61" s="353" t="s">
        <v>411</v>
      </c>
      <c r="R61" s="354">
        <v>40178</v>
      </c>
      <c r="S61" s="416">
        <f t="shared" si="1"/>
        <v>171943.2</v>
      </c>
      <c r="T61" s="355">
        <f t="shared" si="2"/>
        <v>0.94626103418671725</v>
      </c>
    </row>
    <row r="62" spans="1:20" s="345" customFormat="1">
      <c r="A62" s="342" t="s">
        <v>161</v>
      </c>
      <c r="B62" s="356" t="s">
        <v>411</v>
      </c>
      <c r="C62" s="356" t="s">
        <v>411</v>
      </c>
      <c r="D62" s="357">
        <v>47570</v>
      </c>
      <c r="E62" s="356" t="s">
        <v>411</v>
      </c>
      <c r="F62" s="356" t="s">
        <v>411</v>
      </c>
      <c r="G62" s="356" t="s">
        <v>411</v>
      </c>
      <c r="H62" s="356" t="s">
        <v>411</v>
      </c>
      <c r="I62" s="357">
        <v>41414</v>
      </c>
      <c r="J62" s="416">
        <f t="shared" si="0"/>
        <v>88984</v>
      </c>
      <c r="K62" s="356" t="s">
        <v>411</v>
      </c>
      <c r="L62" s="356" t="s">
        <v>411</v>
      </c>
      <c r="M62" s="357">
        <v>47570</v>
      </c>
      <c r="N62" s="356" t="s">
        <v>411</v>
      </c>
      <c r="O62" s="356" t="s">
        <v>411</v>
      </c>
      <c r="P62" s="356" t="s">
        <v>411</v>
      </c>
      <c r="Q62" s="356" t="s">
        <v>411</v>
      </c>
      <c r="R62" s="357">
        <v>41414</v>
      </c>
      <c r="S62" s="416">
        <f t="shared" si="1"/>
        <v>88984</v>
      </c>
      <c r="T62" s="355">
        <f t="shared" si="2"/>
        <v>1</v>
      </c>
    </row>
    <row r="63" spans="1:20" s="345" customFormat="1">
      <c r="A63" s="342" t="s">
        <v>162</v>
      </c>
      <c r="B63" s="353" t="s">
        <v>411</v>
      </c>
      <c r="C63" s="353" t="s">
        <v>411</v>
      </c>
      <c r="D63" s="354">
        <v>89330</v>
      </c>
      <c r="E63" s="353" t="s">
        <v>411</v>
      </c>
      <c r="F63" s="354">
        <v>951000</v>
      </c>
      <c r="G63" s="353" t="s">
        <v>411</v>
      </c>
      <c r="H63" s="353" t="s">
        <v>411</v>
      </c>
      <c r="I63" s="354">
        <v>32214</v>
      </c>
      <c r="J63" s="416">
        <f t="shared" si="0"/>
        <v>1072544</v>
      </c>
      <c r="K63" s="353" t="s">
        <v>411</v>
      </c>
      <c r="L63" s="353" t="s">
        <v>411</v>
      </c>
      <c r="M63" s="354">
        <v>85065.600000000006</v>
      </c>
      <c r="N63" s="353" t="s">
        <v>411</v>
      </c>
      <c r="O63" s="354">
        <v>951000</v>
      </c>
      <c r="P63" s="353" t="s">
        <v>411</v>
      </c>
      <c r="Q63" s="353" t="s">
        <v>411</v>
      </c>
      <c r="R63" s="354">
        <v>32214</v>
      </c>
      <c r="S63" s="416">
        <f t="shared" si="1"/>
        <v>1068279.6000000001</v>
      </c>
      <c r="T63" s="355">
        <f t="shared" si="2"/>
        <v>0.99602403258048167</v>
      </c>
    </row>
    <row r="64" spans="1:20" s="345" customFormat="1">
      <c r="A64" s="342" t="s">
        <v>163</v>
      </c>
      <c r="B64" s="356" t="s">
        <v>411</v>
      </c>
      <c r="C64" s="356" t="s">
        <v>411</v>
      </c>
      <c r="D64" s="357">
        <v>80630</v>
      </c>
      <c r="E64" s="356" t="s">
        <v>411</v>
      </c>
      <c r="F64" s="356" t="s">
        <v>411</v>
      </c>
      <c r="G64" s="356" t="s">
        <v>411</v>
      </c>
      <c r="H64" s="356" t="s">
        <v>411</v>
      </c>
      <c r="I64" s="357">
        <v>41128</v>
      </c>
      <c r="J64" s="416">
        <f t="shared" si="0"/>
        <v>121758</v>
      </c>
      <c r="K64" s="356" t="s">
        <v>411</v>
      </c>
      <c r="L64" s="356" t="s">
        <v>411</v>
      </c>
      <c r="M64" s="357">
        <v>79838</v>
      </c>
      <c r="N64" s="356" t="s">
        <v>411</v>
      </c>
      <c r="O64" s="356" t="s">
        <v>411</v>
      </c>
      <c r="P64" s="356" t="s">
        <v>411</v>
      </c>
      <c r="Q64" s="356" t="s">
        <v>411</v>
      </c>
      <c r="R64" s="357">
        <v>41128</v>
      </c>
      <c r="S64" s="416">
        <f t="shared" si="1"/>
        <v>120966</v>
      </c>
      <c r="T64" s="355">
        <f t="shared" si="2"/>
        <v>0.99349529394372449</v>
      </c>
    </row>
    <row r="65" spans="1:20" s="362" customFormat="1">
      <c r="A65" s="346" t="s">
        <v>275</v>
      </c>
      <c r="B65" s="363">
        <f>SUM(B55:B64)</f>
        <v>0</v>
      </c>
      <c r="C65" s="363">
        <f t="shared" ref="C65:R65" si="7">SUM(C55:C64)</f>
        <v>0</v>
      </c>
      <c r="D65" s="363">
        <f t="shared" si="7"/>
        <v>1007200</v>
      </c>
      <c r="E65" s="363">
        <f t="shared" si="7"/>
        <v>0</v>
      </c>
      <c r="F65" s="363">
        <f t="shared" si="7"/>
        <v>2676000</v>
      </c>
      <c r="G65" s="363">
        <f t="shared" si="7"/>
        <v>0</v>
      </c>
      <c r="H65" s="363">
        <f t="shared" si="7"/>
        <v>2423600</v>
      </c>
      <c r="I65" s="363">
        <f t="shared" si="7"/>
        <v>2265617.25</v>
      </c>
      <c r="J65" s="416">
        <f t="shared" si="0"/>
        <v>8372417.25</v>
      </c>
      <c r="K65" s="363">
        <f t="shared" si="7"/>
        <v>0</v>
      </c>
      <c r="L65" s="363">
        <f t="shared" si="7"/>
        <v>0</v>
      </c>
      <c r="M65" s="363">
        <f t="shared" si="7"/>
        <v>976926.4</v>
      </c>
      <c r="N65" s="363">
        <f t="shared" si="7"/>
        <v>0</v>
      </c>
      <c r="O65" s="363">
        <f t="shared" si="7"/>
        <v>2676000</v>
      </c>
      <c r="P65" s="363">
        <f t="shared" si="7"/>
        <v>0</v>
      </c>
      <c r="Q65" s="363">
        <f t="shared" si="7"/>
        <v>2423600</v>
      </c>
      <c r="R65" s="363">
        <f t="shared" si="7"/>
        <v>2265617.25</v>
      </c>
      <c r="S65" s="416">
        <f t="shared" si="1"/>
        <v>8342143.6500000004</v>
      </c>
      <c r="T65" s="355">
        <f t="shared" si="2"/>
        <v>0.99638412669889331</v>
      </c>
    </row>
    <row r="66" spans="1:20" s="345" customFormat="1">
      <c r="A66" s="342" t="s">
        <v>164</v>
      </c>
      <c r="B66" s="353" t="s">
        <v>411</v>
      </c>
      <c r="C66" s="353" t="s">
        <v>411</v>
      </c>
      <c r="D66" s="354">
        <v>68925</v>
      </c>
      <c r="E66" s="353" t="s">
        <v>411</v>
      </c>
      <c r="F66" s="354">
        <v>1487600</v>
      </c>
      <c r="G66" s="353" t="s">
        <v>411</v>
      </c>
      <c r="H66" s="353" t="s">
        <v>411</v>
      </c>
      <c r="I66" s="354">
        <v>3512418.01</v>
      </c>
      <c r="J66" s="416">
        <f t="shared" si="0"/>
        <v>5068943.01</v>
      </c>
      <c r="K66" s="353" t="s">
        <v>411</v>
      </c>
      <c r="L66" s="353" t="s">
        <v>411</v>
      </c>
      <c r="M66" s="354">
        <v>67035</v>
      </c>
      <c r="N66" s="353" t="s">
        <v>411</v>
      </c>
      <c r="O66" s="354">
        <f>651000+2000</f>
        <v>653000</v>
      </c>
      <c r="P66" s="353" t="s">
        <v>411</v>
      </c>
      <c r="Q66" s="353" t="s">
        <v>411</v>
      </c>
      <c r="R66" s="354">
        <v>3512418.01</v>
      </c>
      <c r="S66" s="416">
        <f t="shared" si="1"/>
        <v>4232453.01</v>
      </c>
      <c r="T66" s="355">
        <f t="shared" si="2"/>
        <v>0.8349774305314196</v>
      </c>
    </row>
    <row r="67" spans="1:20" s="345" customFormat="1">
      <c r="A67" s="342" t="s">
        <v>165</v>
      </c>
      <c r="B67" s="356" t="s">
        <v>411</v>
      </c>
      <c r="C67" s="356" t="s">
        <v>411</v>
      </c>
      <c r="D67" s="357">
        <v>56400</v>
      </c>
      <c r="E67" s="356" t="s">
        <v>411</v>
      </c>
      <c r="F67" s="356" t="s">
        <v>411</v>
      </c>
      <c r="G67" s="356" t="s">
        <v>411</v>
      </c>
      <c r="H67" s="356" t="s">
        <v>411</v>
      </c>
      <c r="I67" s="356" t="s">
        <v>411</v>
      </c>
      <c r="J67" s="416">
        <f t="shared" si="0"/>
        <v>56400</v>
      </c>
      <c r="K67" s="356" t="s">
        <v>411</v>
      </c>
      <c r="L67" s="356" t="s">
        <v>411</v>
      </c>
      <c r="M67" s="357">
        <v>56312</v>
      </c>
      <c r="N67" s="356" t="s">
        <v>411</v>
      </c>
      <c r="O67" s="356" t="s">
        <v>411</v>
      </c>
      <c r="P67" s="356" t="s">
        <v>411</v>
      </c>
      <c r="Q67" s="356" t="s">
        <v>411</v>
      </c>
      <c r="R67" s="356" t="s">
        <v>411</v>
      </c>
      <c r="S67" s="416">
        <f t="shared" si="1"/>
        <v>56312</v>
      </c>
      <c r="T67" s="355">
        <f t="shared" si="2"/>
        <v>0.99843971631205675</v>
      </c>
    </row>
    <row r="68" spans="1:20" s="345" customFormat="1">
      <c r="A68" s="342" t="s">
        <v>166</v>
      </c>
      <c r="B68" s="353" t="s">
        <v>411</v>
      </c>
      <c r="C68" s="353" t="s">
        <v>411</v>
      </c>
      <c r="D68" s="354">
        <v>66400</v>
      </c>
      <c r="E68" s="353" t="s">
        <v>411</v>
      </c>
      <c r="F68" s="353" t="s">
        <v>411</v>
      </c>
      <c r="G68" s="353" t="s">
        <v>411</v>
      </c>
      <c r="H68" s="353" t="s">
        <v>411</v>
      </c>
      <c r="I68" s="353" t="s">
        <v>411</v>
      </c>
      <c r="J68" s="416">
        <f t="shared" si="0"/>
        <v>66400</v>
      </c>
      <c r="K68" s="353" t="s">
        <v>411</v>
      </c>
      <c r="L68" s="353" t="s">
        <v>411</v>
      </c>
      <c r="M68" s="354">
        <v>65982.95</v>
      </c>
      <c r="N68" s="353" t="s">
        <v>411</v>
      </c>
      <c r="O68" s="353" t="s">
        <v>411</v>
      </c>
      <c r="P68" s="353" t="s">
        <v>411</v>
      </c>
      <c r="Q68" s="353" t="s">
        <v>411</v>
      </c>
      <c r="R68" s="353" t="s">
        <v>411</v>
      </c>
      <c r="S68" s="416">
        <f t="shared" si="1"/>
        <v>65982.95</v>
      </c>
      <c r="T68" s="355">
        <f t="shared" si="2"/>
        <v>0.99371912650602401</v>
      </c>
    </row>
    <row r="69" spans="1:20" s="345" customFormat="1">
      <c r="A69" s="342" t="s">
        <v>354</v>
      </c>
      <c r="B69" s="353" t="s">
        <v>411</v>
      </c>
      <c r="C69" s="353" t="s">
        <v>411</v>
      </c>
      <c r="D69" s="354">
        <v>31400</v>
      </c>
      <c r="E69" s="353" t="s">
        <v>411</v>
      </c>
      <c r="F69" s="353" t="s">
        <v>411</v>
      </c>
      <c r="G69" s="353" t="s">
        <v>411</v>
      </c>
      <c r="H69" s="353" t="s">
        <v>411</v>
      </c>
      <c r="I69" s="353" t="s">
        <v>411</v>
      </c>
      <c r="J69" s="416">
        <f t="shared" ref="J69:J109" si="8">SUM(B69:I69)</f>
        <v>31400</v>
      </c>
      <c r="K69" s="353" t="s">
        <v>411</v>
      </c>
      <c r="L69" s="353" t="s">
        <v>411</v>
      </c>
      <c r="M69" s="354">
        <v>31248</v>
      </c>
      <c r="N69" s="353" t="s">
        <v>411</v>
      </c>
      <c r="O69" s="353" t="s">
        <v>411</v>
      </c>
      <c r="P69" s="353" t="s">
        <v>411</v>
      </c>
      <c r="Q69" s="353" t="s">
        <v>411</v>
      </c>
      <c r="R69" s="353" t="s">
        <v>411</v>
      </c>
      <c r="S69" s="416">
        <f t="shared" ref="S69:S109" si="9">SUM(K69:R69)</f>
        <v>31248</v>
      </c>
      <c r="T69" s="355">
        <f t="shared" ref="T69:T109" si="10">SUM(S69/J69)</f>
        <v>0.99515923566878983</v>
      </c>
    </row>
    <row r="70" spans="1:20" s="345" customFormat="1">
      <c r="A70" s="342" t="s">
        <v>167</v>
      </c>
      <c r="B70" s="356" t="s">
        <v>411</v>
      </c>
      <c r="C70" s="356" t="s">
        <v>411</v>
      </c>
      <c r="D70" s="356" t="s">
        <v>411</v>
      </c>
      <c r="E70" s="356" t="s">
        <v>411</v>
      </c>
      <c r="F70" s="356" t="s">
        <v>411</v>
      </c>
      <c r="G70" s="356" t="s">
        <v>411</v>
      </c>
      <c r="H70" s="356" t="s">
        <v>411</v>
      </c>
      <c r="I70" s="357">
        <v>199968.4</v>
      </c>
      <c r="J70" s="416">
        <f t="shared" si="8"/>
        <v>199968.4</v>
      </c>
      <c r="K70" s="356" t="s">
        <v>411</v>
      </c>
      <c r="L70" s="356" t="s">
        <v>411</v>
      </c>
      <c r="M70" s="356" t="s">
        <v>411</v>
      </c>
      <c r="N70" s="356" t="s">
        <v>411</v>
      </c>
      <c r="O70" s="356" t="s">
        <v>411</v>
      </c>
      <c r="P70" s="356" t="s">
        <v>411</v>
      </c>
      <c r="Q70" s="356" t="s">
        <v>411</v>
      </c>
      <c r="R70" s="357">
        <v>199968.4</v>
      </c>
      <c r="S70" s="416">
        <f t="shared" si="9"/>
        <v>199968.4</v>
      </c>
      <c r="T70" s="355">
        <f t="shared" si="10"/>
        <v>1</v>
      </c>
    </row>
    <row r="71" spans="1:20" s="362" customFormat="1">
      <c r="A71" s="346" t="s">
        <v>353</v>
      </c>
      <c r="B71" s="363">
        <f>SUM(B66:B70)</f>
        <v>0</v>
      </c>
      <c r="C71" s="363">
        <f t="shared" ref="C71:R71" si="11">SUM(C66:C70)</f>
        <v>0</v>
      </c>
      <c r="D71" s="363">
        <f t="shared" si="11"/>
        <v>223125</v>
      </c>
      <c r="E71" s="363">
        <f t="shared" si="11"/>
        <v>0</v>
      </c>
      <c r="F71" s="363">
        <f t="shared" si="11"/>
        <v>1487600</v>
      </c>
      <c r="G71" s="363">
        <f t="shared" si="11"/>
        <v>0</v>
      </c>
      <c r="H71" s="363">
        <f t="shared" si="11"/>
        <v>0</v>
      </c>
      <c r="I71" s="363">
        <f t="shared" si="11"/>
        <v>3712386.4099999997</v>
      </c>
      <c r="J71" s="416">
        <f t="shared" si="8"/>
        <v>5423111.4100000001</v>
      </c>
      <c r="K71" s="363">
        <f t="shared" si="11"/>
        <v>0</v>
      </c>
      <c r="L71" s="363">
        <f t="shared" si="11"/>
        <v>0</v>
      </c>
      <c r="M71" s="363">
        <f t="shared" si="11"/>
        <v>220577.95</v>
      </c>
      <c r="N71" s="363">
        <f t="shared" si="11"/>
        <v>0</v>
      </c>
      <c r="O71" s="363">
        <f t="shared" si="11"/>
        <v>653000</v>
      </c>
      <c r="P71" s="363">
        <f t="shared" si="11"/>
        <v>0</v>
      </c>
      <c r="Q71" s="363">
        <f t="shared" si="11"/>
        <v>0</v>
      </c>
      <c r="R71" s="363">
        <f t="shared" si="11"/>
        <v>3712386.4099999997</v>
      </c>
      <c r="S71" s="416">
        <f t="shared" si="9"/>
        <v>4585964.3599999994</v>
      </c>
      <c r="T71" s="355">
        <f t="shared" si="10"/>
        <v>0.84563344052708656</v>
      </c>
    </row>
    <row r="72" spans="1:20" s="345" customFormat="1">
      <c r="A72" s="342" t="s">
        <v>168</v>
      </c>
      <c r="B72" s="353" t="s">
        <v>411</v>
      </c>
      <c r="C72" s="353" t="s">
        <v>411</v>
      </c>
      <c r="D72" s="354">
        <v>340000</v>
      </c>
      <c r="E72" s="353" t="s">
        <v>411</v>
      </c>
      <c r="F72" s="353" t="s">
        <v>411</v>
      </c>
      <c r="G72" s="353" t="s">
        <v>411</v>
      </c>
      <c r="H72" s="353" t="s">
        <v>411</v>
      </c>
      <c r="I72" s="354">
        <v>81100</v>
      </c>
      <c r="J72" s="416">
        <f t="shared" si="8"/>
        <v>421100</v>
      </c>
      <c r="K72" s="353" t="s">
        <v>411</v>
      </c>
      <c r="L72" s="353" t="s">
        <v>411</v>
      </c>
      <c r="M72" s="354">
        <v>335899.28</v>
      </c>
      <c r="N72" s="353" t="s">
        <v>411</v>
      </c>
      <c r="O72" s="353" t="s">
        <v>411</v>
      </c>
      <c r="P72" s="353" t="s">
        <v>411</v>
      </c>
      <c r="Q72" s="353" t="s">
        <v>411</v>
      </c>
      <c r="R72" s="354">
        <v>81100</v>
      </c>
      <c r="S72" s="416">
        <f t="shared" si="9"/>
        <v>416999.28</v>
      </c>
      <c r="T72" s="355">
        <f t="shared" si="10"/>
        <v>0.99026188553787708</v>
      </c>
    </row>
    <row r="73" spans="1:20" s="345" customFormat="1">
      <c r="A73" s="342" t="s">
        <v>169</v>
      </c>
      <c r="B73" s="356" t="s">
        <v>411</v>
      </c>
      <c r="C73" s="356" t="s">
        <v>411</v>
      </c>
      <c r="D73" s="357">
        <v>260000</v>
      </c>
      <c r="E73" s="356" t="s">
        <v>411</v>
      </c>
      <c r="F73" s="357">
        <v>993000</v>
      </c>
      <c r="G73" s="356" t="s">
        <v>411</v>
      </c>
      <c r="H73" s="356" t="s">
        <v>411</v>
      </c>
      <c r="I73" s="357">
        <v>2198375</v>
      </c>
      <c r="J73" s="416">
        <f t="shared" si="8"/>
        <v>3451375</v>
      </c>
      <c r="K73" s="356" t="s">
        <v>411</v>
      </c>
      <c r="L73" s="356" t="s">
        <v>411</v>
      </c>
      <c r="M73" s="357">
        <v>257662</v>
      </c>
      <c r="N73" s="356" t="s">
        <v>411</v>
      </c>
      <c r="O73" s="357">
        <f>989900+47600</f>
        <v>1037500</v>
      </c>
      <c r="P73" s="356" t="s">
        <v>411</v>
      </c>
      <c r="Q73" s="356" t="s">
        <v>411</v>
      </c>
      <c r="R73" s="357">
        <v>2198375</v>
      </c>
      <c r="S73" s="416">
        <f t="shared" si="9"/>
        <v>3493537</v>
      </c>
      <c r="T73" s="355">
        <f t="shared" si="10"/>
        <v>1.0122160008692187</v>
      </c>
    </row>
    <row r="74" spans="1:20" s="345" customFormat="1">
      <c r="A74" s="342" t="s">
        <v>170</v>
      </c>
      <c r="B74" s="353" t="s">
        <v>411</v>
      </c>
      <c r="C74" s="353" t="s">
        <v>411</v>
      </c>
      <c r="D74" s="353" t="s">
        <v>411</v>
      </c>
      <c r="E74" s="353" t="s">
        <v>411</v>
      </c>
      <c r="F74" s="354">
        <v>819500</v>
      </c>
      <c r="G74" s="353" t="s">
        <v>411</v>
      </c>
      <c r="H74" s="353" t="s">
        <v>411</v>
      </c>
      <c r="I74" s="354">
        <v>914999.14</v>
      </c>
      <c r="J74" s="416">
        <f t="shared" si="8"/>
        <v>1734499.1400000001</v>
      </c>
      <c r="K74" s="353" t="s">
        <v>411</v>
      </c>
      <c r="L74" s="353" t="s">
        <v>411</v>
      </c>
      <c r="M74" s="353" t="s">
        <v>411</v>
      </c>
      <c r="N74" s="353" t="s">
        <v>411</v>
      </c>
      <c r="O74" s="354">
        <v>775000</v>
      </c>
      <c r="P74" s="353" t="s">
        <v>411</v>
      </c>
      <c r="Q74" s="353" t="s">
        <v>411</v>
      </c>
      <c r="R74" s="354">
        <v>914999.14</v>
      </c>
      <c r="S74" s="416">
        <f t="shared" si="9"/>
        <v>1689999.1400000001</v>
      </c>
      <c r="T74" s="355">
        <f t="shared" si="10"/>
        <v>0.97434417868895573</v>
      </c>
    </row>
    <row r="75" spans="1:20" s="362" customFormat="1">
      <c r="A75" s="346" t="s">
        <v>441</v>
      </c>
      <c r="B75" s="359">
        <f>SUM(B72:B74)</f>
        <v>0</v>
      </c>
      <c r="C75" s="359">
        <f t="shared" ref="C75:R75" si="12">SUM(C72:C74)</f>
        <v>0</v>
      </c>
      <c r="D75" s="359">
        <f t="shared" si="12"/>
        <v>600000</v>
      </c>
      <c r="E75" s="359">
        <f t="shared" si="12"/>
        <v>0</v>
      </c>
      <c r="F75" s="359">
        <f t="shared" si="12"/>
        <v>1812500</v>
      </c>
      <c r="G75" s="359">
        <f t="shared" si="12"/>
        <v>0</v>
      </c>
      <c r="H75" s="359">
        <f t="shared" si="12"/>
        <v>0</v>
      </c>
      <c r="I75" s="359">
        <f t="shared" si="12"/>
        <v>3194474.14</v>
      </c>
      <c r="J75" s="416">
        <f t="shared" si="8"/>
        <v>5606974.1400000006</v>
      </c>
      <c r="K75" s="359">
        <f t="shared" si="12"/>
        <v>0</v>
      </c>
      <c r="L75" s="359">
        <f t="shared" si="12"/>
        <v>0</v>
      </c>
      <c r="M75" s="359">
        <f t="shared" si="12"/>
        <v>593561.28</v>
      </c>
      <c r="N75" s="359">
        <f t="shared" si="12"/>
        <v>0</v>
      </c>
      <c r="O75" s="359">
        <f t="shared" si="12"/>
        <v>1812500</v>
      </c>
      <c r="P75" s="359">
        <f t="shared" si="12"/>
        <v>0</v>
      </c>
      <c r="Q75" s="359">
        <f t="shared" si="12"/>
        <v>0</v>
      </c>
      <c r="R75" s="359">
        <f t="shared" si="12"/>
        <v>3194474.14</v>
      </c>
      <c r="S75" s="416">
        <f t="shared" si="9"/>
        <v>5600535.4199999999</v>
      </c>
      <c r="T75" s="355">
        <f t="shared" si="10"/>
        <v>0.99885165869518333</v>
      </c>
    </row>
    <row r="76" spans="1:20" s="345" customFormat="1">
      <c r="A76" s="342" t="s">
        <v>171</v>
      </c>
      <c r="B76" s="356" t="s">
        <v>411</v>
      </c>
      <c r="C76" s="356" t="s">
        <v>411</v>
      </c>
      <c r="D76" s="356" t="s">
        <v>411</v>
      </c>
      <c r="E76" s="356" t="s">
        <v>411</v>
      </c>
      <c r="F76" s="356" t="s">
        <v>411</v>
      </c>
      <c r="G76" s="356" t="s">
        <v>411</v>
      </c>
      <c r="H76" s="356" t="s">
        <v>411</v>
      </c>
      <c r="I76" s="357">
        <v>12140</v>
      </c>
      <c r="J76" s="416">
        <f t="shared" si="8"/>
        <v>12140</v>
      </c>
      <c r="K76" s="356" t="s">
        <v>411</v>
      </c>
      <c r="L76" s="356" t="s">
        <v>411</v>
      </c>
      <c r="M76" s="356" t="s">
        <v>411</v>
      </c>
      <c r="N76" s="356" t="s">
        <v>411</v>
      </c>
      <c r="O76" s="356" t="s">
        <v>411</v>
      </c>
      <c r="P76" s="356" t="s">
        <v>411</v>
      </c>
      <c r="Q76" s="356" t="s">
        <v>411</v>
      </c>
      <c r="R76" s="357">
        <v>12140</v>
      </c>
      <c r="S76" s="416">
        <f t="shared" si="9"/>
        <v>12140</v>
      </c>
      <c r="T76" s="355">
        <f t="shared" si="10"/>
        <v>1</v>
      </c>
    </row>
    <row r="77" spans="1:20" s="345" customFormat="1">
      <c r="A77" s="342" t="s">
        <v>173</v>
      </c>
      <c r="B77" s="353" t="s">
        <v>411</v>
      </c>
      <c r="C77" s="353" t="s">
        <v>411</v>
      </c>
      <c r="D77" s="353" t="s">
        <v>411</v>
      </c>
      <c r="E77" s="353" t="s">
        <v>411</v>
      </c>
      <c r="F77" s="353" t="s">
        <v>411</v>
      </c>
      <c r="G77" s="353" t="s">
        <v>411</v>
      </c>
      <c r="H77" s="353" t="s">
        <v>411</v>
      </c>
      <c r="I77" s="354">
        <v>418331.9</v>
      </c>
      <c r="J77" s="416">
        <f t="shared" si="8"/>
        <v>418331.9</v>
      </c>
      <c r="K77" s="353" t="s">
        <v>411</v>
      </c>
      <c r="L77" s="353" t="s">
        <v>411</v>
      </c>
      <c r="M77" s="353" t="s">
        <v>411</v>
      </c>
      <c r="N77" s="353" t="s">
        <v>411</v>
      </c>
      <c r="O77" s="353" t="s">
        <v>411</v>
      </c>
      <c r="P77" s="353" t="s">
        <v>411</v>
      </c>
      <c r="Q77" s="353" t="s">
        <v>411</v>
      </c>
      <c r="R77" s="354">
        <v>418331.9</v>
      </c>
      <c r="S77" s="416">
        <f t="shared" si="9"/>
        <v>418331.9</v>
      </c>
      <c r="T77" s="355">
        <f t="shared" si="10"/>
        <v>1</v>
      </c>
    </row>
    <row r="78" spans="1:20" s="362" customFormat="1">
      <c r="A78" s="346" t="s">
        <v>443</v>
      </c>
      <c r="B78" s="359">
        <f>SUM(B76:B77)</f>
        <v>0</v>
      </c>
      <c r="C78" s="359">
        <f t="shared" ref="C78:R78" si="13">SUM(C76:C77)</f>
        <v>0</v>
      </c>
      <c r="D78" s="359">
        <f t="shared" si="13"/>
        <v>0</v>
      </c>
      <c r="E78" s="359">
        <f t="shared" si="13"/>
        <v>0</v>
      </c>
      <c r="F78" s="359">
        <f t="shared" si="13"/>
        <v>0</v>
      </c>
      <c r="G78" s="359">
        <f t="shared" si="13"/>
        <v>0</v>
      </c>
      <c r="H78" s="359">
        <f t="shared" si="13"/>
        <v>0</v>
      </c>
      <c r="I78" s="359">
        <f t="shared" si="13"/>
        <v>430471.9</v>
      </c>
      <c r="J78" s="416">
        <f t="shared" si="8"/>
        <v>430471.9</v>
      </c>
      <c r="K78" s="359">
        <f t="shared" si="13"/>
        <v>0</v>
      </c>
      <c r="L78" s="359">
        <f t="shared" si="13"/>
        <v>0</v>
      </c>
      <c r="M78" s="359">
        <f t="shared" si="13"/>
        <v>0</v>
      </c>
      <c r="N78" s="359">
        <f t="shared" si="13"/>
        <v>0</v>
      </c>
      <c r="O78" s="359">
        <f t="shared" si="13"/>
        <v>0</v>
      </c>
      <c r="P78" s="359">
        <f t="shared" si="13"/>
        <v>0</v>
      </c>
      <c r="Q78" s="359">
        <f t="shared" si="13"/>
        <v>0</v>
      </c>
      <c r="R78" s="359">
        <f t="shared" si="13"/>
        <v>430471.9</v>
      </c>
      <c r="S78" s="416">
        <f t="shared" si="9"/>
        <v>430471.9</v>
      </c>
      <c r="T78" s="355">
        <f t="shared" si="10"/>
        <v>1</v>
      </c>
    </row>
    <row r="79" spans="1:20" s="345" customFormat="1">
      <c r="A79" s="342" t="s">
        <v>174</v>
      </c>
      <c r="B79" s="356" t="s">
        <v>411</v>
      </c>
      <c r="C79" s="356" t="s">
        <v>411</v>
      </c>
      <c r="D79" s="356" t="s">
        <v>411</v>
      </c>
      <c r="E79" s="356" t="s">
        <v>411</v>
      </c>
      <c r="F79" s="356" t="s">
        <v>411</v>
      </c>
      <c r="G79" s="356" t="s">
        <v>411</v>
      </c>
      <c r="H79" s="356" t="s">
        <v>411</v>
      </c>
      <c r="I79" s="357">
        <v>15000</v>
      </c>
      <c r="J79" s="416">
        <f t="shared" si="8"/>
        <v>15000</v>
      </c>
      <c r="K79" s="356" t="s">
        <v>411</v>
      </c>
      <c r="L79" s="356" t="s">
        <v>411</v>
      </c>
      <c r="M79" s="356" t="s">
        <v>411</v>
      </c>
      <c r="N79" s="356" t="s">
        <v>411</v>
      </c>
      <c r="O79" s="356" t="s">
        <v>411</v>
      </c>
      <c r="P79" s="356" t="s">
        <v>411</v>
      </c>
      <c r="Q79" s="356" t="s">
        <v>411</v>
      </c>
      <c r="R79" s="357">
        <v>15000</v>
      </c>
      <c r="S79" s="416">
        <f t="shared" si="9"/>
        <v>15000</v>
      </c>
      <c r="T79" s="355">
        <f t="shared" si="10"/>
        <v>1</v>
      </c>
    </row>
    <row r="80" spans="1:20" s="345" customFormat="1">
      <c r="A80" s="342" t="s">
        <v>175</v>
      </c>
      <c r="B80" s="353" t="s">
        <v>411</v>
      </c>
      <c r="C80" s="353" t="s">
        <v>411</v>
      </c>
      <c r="D80" s="354">
        <v>102000</v>
      </c>
      <c r="E80" s="353" t="s">
        <v>411</v>
      </c>
      <c r="F80" s="353" t="s">
        <v>411</v>
      </c>
      <c r="G80" s="353" t="s">
        <v>411</v>
      </c>
      <c r="H80" s="353" t="s">
        <v>411</v>
      </c>
      <c r="I80" s="354">
        <v>854844</v>
      </c>
      <c r="J80" s="416">
        <f t="shared" si="8"/>
        <v>956844</v>
      </c>
      <c r="K80" s="353" t="s">
        <v>411</v>
      </c>
      <c r="L80" s="353" t="s">
        <v>411</v>
      </c>
      <c r="M80" s="354">
        <v>102000</v>
      </c>
      <c r="N80" s="353" t="s">
        <v>411</v>
      </c>
      <c r="O80" s="353" t="s">
        <v>411</v>
      </c>
      <c r="P80" s="353" t="s">
        <v>411</v>
      </c>
      <c r="Q80" s="353" t="s">
        <v>411</v>
      </c>
      <c r="R80" s="354">
        <v>854844</v>
      </c>
      <c r="S80" s="416">
        <f t="shared" si="9"/>
        <v>956844</v>
      </c>
      <c r="T80" s="355">
        <f t="shared" si="10"/>
        <v>1</v>
      </c>
    </row>
    <row r="81" spans="1:20" s="345" customFormat="1">
      <c r="A81" s="342" t="s">
        <v>176</v>
      </c>
      <c r="B81" s="356" t="s">
        <v>411</v>
      </c>
      <c r="C81" s="356" t="s">
        <v>411</v>
      </c>
      <c r="D81" s="356" t="s">
        <v>411</v>
      </c>
      <c r="E81" s="356" t="s">
        <v>411</v>
      </c>
      <c r="F81" s="356" t="s">
        <v>411</v>
      </c>
      <c r="G81" s="356" t="s">
        <v>411</v>
      </c>
      <c r="H81" s="356" t="s">
        <v>411</v>
      </c>
      <c r="I81" s="357">
        <v>30000</v>
      </c>
      <c r="J81" s="416">
        <f t="shared" si="8"/>
        <v>30000</v>
      </c>
      <c r="K81" s="356" t="s">
        <v>411</v>
      </c>
      <c r="L81" s="356" t="s">
        <v>411</v>
      </c>
      <c r="M81" s="356" t="s">
        <v>411</v>
      </c>
      <c r="N81" s="356" t="s">
        <v>411</v>
      </c>
      <c r="O81" s="356" t="s">
        <v>411</v>
      </c>
      <c r="P81" s="356" t="s">
        <v>411</v>
      </c>
      <c r="Q81" s="356" t="s">
        <v>411</v>
      </c>
      <c r="R81" s="357">
        <v>30000</v>
      </c>
      <c r="S81" s="416">
        <f t="shared" si="9"/>
        <v>30000</v>
      </c>
      <c r="T81" s="355">
        <f t="shared" si="10"/>
        <v>1</v>
      </c>
    </row>
    <row r="82" spans="1:20" s="362" customFormat="1">
      <c r="A82" s="346" t="s">
        <v>442</v>
      </c>
      <c r="B82" s="363">
        <f>SUM(B79:B81)</f>
        <v>0</v>
      </c>
      <c r="C82" s="363">
        <f t="shared" ref="C82:R82" si="14">SUM(C79:C81)</f>
        <v>0</v>
      </c>
      <c r="D82" s="363">
        <f t="shared" si="14"/>
        <v>102000</v>
      </c>
      <c r="E82" s="363">
        <f t="shared" si="14"/>
        <v>0</v>
      </c>
      <c r="F82" s="363">
        <f t="shared" si="14"/>
        <v>0</v>
      </c>
      <c r="G82" s="363">
        <f t="shared" si="14"/>
        <v>0</v>
      </c>
      <c r="H82" s="363">
        <f t="shared" si="14"/>
        <v>0</v>
      </c>
      <c r="I82" s="363">
        <f t="shared" si="14"/>
        <v>899844</v>
      </c>
      <c r="J82" s="416">
        <f t="shared" si="8"/>
        <v>1001844</v>
      </c>
      <c r="K82" s="363">
        <f t="shared" si="14"/>
        <v>0</v>
      </c>
      <c r="L82" s="363">
        <f t="shared" si="14"/>
        <v>0</v>
      </c>
      <c r="M82" s="363">
        <f t="shared" si="14"/>
        <v>102000</v>
      </c>
      <c r="N82" s="363">
        <f t="shared" si="14"/>
        <v>0</v>
      </c>
      <c r="O82" s="363">
        <f t="shared" si="14"/>
        <v>0</v>
      </c>
      <c r="P82" s="363">
        <f t="shared" si="14"/>
        <v>0</v>
      </c>
      <c r="Q82" s="363">
        <f t="shared" si="14"/>
        <v>0</v>
      </c>
      <c r="R82" s="363">
        <f t="shared" si="14"/>
        <v>899844</v>
      </c>
      <c r="S82" s="416">
        <f t="shared" si="9"/>
        <v>1001844</v>
      </c>
      <c r="T82" s="355">
        <f t="shared" si="10"/>
        <v>1</v>
      </c>
    </row>
    <row r="83" spans="1:20" s="345" customFormat="1">
      <c r="A83" s="342" t="s">
        <v>177</v>
      </c>
      <c r="B83" s="353" t="s">
        <v>411</v>
      </c>
      <c r="C83" s="353" t="s">
        <v>411</v>
      </c>
      <c r="D83" s="354">
        <v>129800</v>
      </c>
      <c r="E83" s="353" t="s">
        <v>411</v>
      </c>
      <c r="F83" s="353" t="s">
        <v>411</v>
      </c>
      <c r="G83" s="353" t="s">
        <v>411</v>
      </c>
      <c r="H83" s="353" t="s">
        <v>411</v>
      </c>
      <c r="I83" s="354"/>
      <c r="J83" s="416">
        <f t="shared" si="8"/>
        <v>129800</v>
      </c>
      <c r="K83" s="353" t="s">
        <v>411</v>
      </c>
      <c r="L83" s="353" t="s">
        <v>411</v>
      </c>
      <c r="M83" s="354">
        <v>116887.8</v>
      </c>
      <c r="N83" s="353" t="s">
        <v>411</v>
      </c>
      <c r="O83" s="353" t="s">
        <v>411</v>
      </c>
      <c r="P83" s="353" t="s">
        <v>411</v>
      </c>
      <c r="Q83" s="353" t="s">
        <v>411</v>
      </c>
      <c r="R83" s="353" t="s">
        <v>411</v>
      </c>
      <c r="S83" s="416">
        <f t="shared" si="9"/>
        <v>116887.8</v>
      </c>
      <c r="T83" s="355">
        <f t="shared" si="10"/>
        <v>0.90052234206471493</v>
      </c>
    </row>
    <row r="84" spans="1:20" s="345" customFormat="1">
      <c r="A84" s="342" t="s">
        <v>194</v>
      </c>
      <c r="B84" s="356" t="s">
        <v>411</v>
      </c>
      <c r="C84" s="356" t="s">
        <v>411</v>
      </c>
      <c r="D84" s="356" t="s">
        <v>411</v>
      </c>
      <c r="E84" s="356" t="s">
        <v>411</v>
      </c>
      <c r="F84" s="356" t="s">
        <v>411</v>
      </c>
      <c r="G84" s="356" t="s">
        <v>411</v>
      </c>
      <c r="H84" s="356" t="s">
        <v>411</v>
      </c>
      <c r="I84" s="357"/>
      <c r="J84" s="416">
        <f t="shared" si="8"/>
        <v>0</v>
      </c>
      <c r="K84" s="356" t="s">
        <v>411</v>
      </c>
      <c r="L84" s="356" t="s">
        <v>411</v>
      </c>
      <c r="M84" s="356" t="s">
        <v>411</v>
      </c>
      <c r="N84" s="356" t="s">
        <v>411</v>
      </c>
      <c r="O84" s="356" t="s">
        <v>411</v>
      </c>
      <c r="P84" s="356" t="s">
        <v>411</v>
      </c>
      <c r="Q84" s="356" t="s">
        <v>411</v>
      </c>
      <c r="R84" s="356" t="s">
        <v>411</v>
      </c>
      <c r="S84" s="416">
        <f t="shared" si="9"/>
        <v>0</v>
      </c>
      <c r="T84" s="355" t="e">
        <f t="shared" si="10"/>
        <v>#DIV/0!</v>
      </c>
    </row>
    <row r="85" spans="1:20" s="345" customFormat="1">
      <c r="A85" s="342" t="s">
        <v>178</v>
      </c>
      <c r="B85" s="353" t="s">
        <v>411</v>
      </c>
      <c r="C85" s="353" t="s">
        <v>411</v>
      </c>
      <c r="D85" s="354">
        <v>265200</v>
      </c>
      <c r="E85" s="353" t="s">
        <v>411</v>
      </c>
      <c r="F85" s="353" t="s">
        <v>411</v>
      </c>
      <c r="G85" s="353" t="s">
        <v>411</v>
      </c>
      <c r="H85" s="353" t="s">
        <v>411</v>
      </c>
      <c r="I85" s="354"/>
      <c r="J85" s="416">
        <f t="shared" si="8"/>
        <v>265200</v>
      </c>
      <c r="K85" s="353" t="s">
        <v>411</v>
      </c>
      <c r="L85" s="353" t="s">
        <v>411</v>
      </c>
      <c r="M85" s="354">
        <v>226489.4</v>
      </c>
      <c r="N85" s="353" t="s">
        <v>411</v>
      </c>
      <c r="O85" s="353" t="s">
        <v>411</v>
      </c>
      <c r="P85" s="353" t="s">
        <v>411</v>
      </c>
      <c r="Q85" s="353" t="s">
        <v>411</v>
      </c>
      <c r="R85" s="353" t="s">
        <v>411</v>
      </c>
      <c r="S85" s="416">
        <f t="shared" si="9"/>
        <v>226489.4</v>
      </c>
      <c r="T85" s="355">
        <f t="shared" si="10"/>
        <v>0.85403242835595772</v>
      </c>
    </row>
    <row r="86" spans="1:20" s="345" customFormat="1">
      <c r="A86" s="342" t="s">
        <v>179</v>
      </c>
      <c r="B86" s="356" t="s">
        <v>411</v>
      </c>
      <c r="C86" s="356" t="s">
        <v>411</v>
      </c>
      <c r="D86" s="357">
        <v>214600</v>
      </c>
      <c r="E86" s="356" t="s">
        <v>411</v>
      </c>
      <c r="F86" s="356" t="s">
        <v>411</v>
      </c>
      <c r="G86" s="356" t="s">
        <v>411</v>
      </c>
      <c r="H86" s="356" t="s">
        <v>411</v>
      </c>
      <c r="I86" s="357"/>
      <c r="J86" s="416">
        <f t="shared" si="8"/>
        <v>214600</v>
      </c>
      <c r="K86" s="356" t="s">
        <v>411</v>
      </c>
      <c r="L86" s="356" t="s">
        <v>411</v>
      </c>
      <c r="M86" s="357">
        <v>177101.6</v>
      </c>
      <c r="N86" s="356" t="s">
        <v>411</v>
      </c>
      <c r="O86" s="356" t="s">
        <v>411</v>
      </c>
      <c r="P86" s="356" t="s">
        <v>411</v>
      </c>
      <c r="Q86" s="356" t="s">
        <v>411</v>
      </c>
      <c r="R86" s="356" t="s">
        <v>411</v>
      </c>
      <c r="S86" s="416">
        <f t="shared" si="9"/>
        <v>177101.6</v>
      </c>
      <c r="T86" s="355">
        <f t="shared" si="10"/>
        <v>0.82526374650512579</v>
      </c>
    </row>
    <row r="87" spans="1:20" s="345" customFormat="1">
      <c r="A87" s="342" t="s">
        <v>180</v>
      </c>
      <c r="B87" s="353" t="s">
        <v>411</v>
      </c>
      <c r="C87" s="353" t="s">
        <v>411</v>
      </c>
      <c r="D87" s="354">
        <v>82700</v>
      </c>
      <c r="E87" s="353" t="s">
        <v>411</v>
      </c>
      <c r="F87" s="353" t="s">
        <v>411</v>
      </c>
      <c r="G87" s="353" t="s">
        <v>411</v>
      </c>
      <c r="H87" s="353" t="s">
        <v>411</v>
      </c>
      <c r="I87" s="354"/>
      <c r="J87" s="416">
        <f t="shared" si="8"/>
        <v>82700</v>
      </c>
      <c r="K87" s="353" t="s">
        <v>411</v>
      </c>
      <c r="L87" s="353" t="s">
        <v>411</v>
      </c>
      <c r="M87" s="354">
        <v>69820.5</v>
      </c>
      <c r="N87" s="353" t="s">
        <v>411</v>
      </c>
      <c r="O87" s="353" t="s">
        <v>411</v>
      </c>
      <c r="P87" s="353" t="s">
        <v>411</v>
      </c>
      <c r="Q87" s="353" t="s">
        <v>411</v>
      </c>
      <c r="R87" s="353" t="s">
        <v>411</v>
      </c>
      <c r="S87" s="416">
        <f t="shared" si="9"/>
        <v>69820.5</v>
      </c>
      <c r="T87" s="355">
        <f t="shared" si="10"/>
        <v>0.84426239419588878</v>
      </c>
    </row>
    <row r="88" spans="1:20" s="345" customFormat="1">
      <c r="A88" s="342" t="s">
        <v>181</v>
      </c>
      <c r="B88" s="353" t="s">
        <v>411</v>
      </c>
      <c r="C88" s="353" t="s">
        <v>411</v>
      </c>
      <c r="D88" s="354">
        <v>19600</v>
      </c>
      <c r="E88" s="353" t="s">
        <v>411</v>
      </c>
      <c r="F88" s="353" t="s">
        <v>411</v>
      </c>
      <c r="G88" s="353" t="s">
        <v>411</v>
      </c>
      <c r="H88" s="353" t="s">
        <v>411</v>
      </c>
      <c r="I88" s="354"/>
      <c r="J88" s="416">
        <f t="shared" si="8"/>
        <v>19600</v>
      </c>
      <c r="K88" s="353" t="s">
        <v>411</v>
      </c>
      <c r="L88" s="353" t="s">
        <v>411</v>
      </c>
      <c r="M88" s="354">
        <v>19200</v>
      </c>
      <c r="N88" s="353" t="s">
        <v>411</v>
      </c>
      <c r="O88" s="353" t="s">
        <v>411</v>
      </c>
      <c r="P88" s="353" t="s">
        <v>411</v>
      </c>
      <c r="Q88" s="353" t="s">
        <v>411</v>
      </c>
      <c r="R88" s="353" t="s">
        <v>411</v>
      </c>
      <c r="S88" s="416">
        <f t="shared" si="9"/>
        <v>19200</v>
      </c>
      <c r="T88" s="355">
        <f t="shared" si="10"/>
        <v>0.97959183673469385</v>
      </c>
    </row>
    <row r="89" spans="1:20" s="345" customFormat="1">
      <c r="A89" s="342" t="s">
        <v>182</v>
      </c>
      <c r="B89" s="356" t="s">
        <v>411</v>
      </c>
      <c r="C89" s="356" t="s">
        <v>411</v>
      </c>
      <c r="D89" s="357">
        <v>193600</v>
      </c>
      <c r="E89" s="356" t="s">
        <v>411</v>
      </c>
      <c r="F89" s="356" t="s">
        <v>411</v>
      </c>
      <c r="G89" s="356" t="s">
        <v>411</v>
      </c>
      <c r="H89" s="356" t="s">
        <v>411</v>
      </c>
      <c r="I89" s="357"/>
      <c r="J89" s="416">
        <f t="shared" si="8"/>
        <v>193600</v>
      </c>
      <c r="K89" s="356" t="s">
        <v>411</v>
      </c>
      <c r="L89" s="356" t="s">
        <v>411</v>
      </c>
      <c r="M89" s="357">
        <v>189595</v>
      </c>
      <c r="N89" s="356" t="s">
        <v>411</v>
      </c>
      <c r="O89" s="356" t="s">
        <v>411</v>
      </c>
      <c r="P89" s="356" t="s">
        <v>411</v>
      </c>
      <c r="Q89" s="356" t="s">
        <v>411</v>
      </c>
      <c r="R89" s="356" t="s">
        <v>411</v>
      </c>
      <c r="S89" s="416">
        <f t="shared" si="9"/>
        <v>189595</v>
      </c>
      <c r="T89" s="355">
        <f t="shared" si="10"/>
        <v>0.97931301652892566</v>
      </c>
    </row>
    <row r="90" spans="1:20" s="345" customFormat="1">
      <c r="A90" s="342" t="s">
        <v>195</v>
      </c>
      <c r="B90" s="353" t="s">
        <v>411</v>
      </c>
      <c r="C90" s="353" t="s">
        <v>411</v>
      </c>
      <c r="D90" s="354">
        <v>244600</v>
      </c>
      <c r="E90" s="353" t="s">
        <v>411</v>
      </c>
      <c r="F90" s="353" t="s">
        <v>411</v>
      </c>
      <c r="G90" s="353" t="s">
        <v>411</v>
      </c>
      <c r="H90" s="353" t="s">
        <v>411</v>
      </c>
      <c r="I90" s="354"/>
      <c r="J90" s="416">
        <f t="shared" si="8"/>
        <v>244600</v>
      </c>
      <c r="K90" s="353" t="s">
        <v>411</v>
      </c>
      <c r="L90" s="353" t="s">
        <v>411</v>
      </c>
      <c r="M90" s="354">
        <v>244599.95</v>
      </c>
      <c r="N90" s="353" t="s">
        <v>411</v>
      </c>
      <c r="O90" s="353" t="s">
        <v>411</v>
      </c>
      <c r="P90" s="353" t="s">
        <v>411</v>
      </c>
      <c r="Q90" s="353" t="s">
        <v>411</v>
      </c>
      <c r="R90" s="353" t="s">
        <v>411</v>
      </c>
      <c r="S90" s="416">
        <f t="shared" si="9"/>
        <v>244599.95</v>
      </c>
      <c r="T90" s="355">
        <f t="shared" si="10"/>
        <v>0.99999979558462804</v>
      </c>
    </row>
    <row r="91" spans="1:20" s="345" customFormat="1">
      <c r="A91" s="342" t="s">
        <v>183</v>
      </c>
      <c r="B91" s="356" t="s">
        <v>411</v>
      </c>
      <c r="C91" s="356" t="s">
        <v>411</v>
      </c>
      <c r="D91" s="357">
        <v>30000</v>
      </c>
      <c r="E91" s="356" t="s">
        <v>411</v>
      </c>
      <c r="F91" s="356" t="s">
        <v>411</v>
      </c>
      <c r="G91" s="356" t="s">
        <v>411</v>
      </c>
      <c r="H91" s="356" t="s">
        <v>411</v>
      </c>
      <c r="I91" s="357"/>
      <c r="J91" s="416">
        <f t="shared" si="8"/>
        <v>30000</v>
      </c>
      <c r="K91" s="356" t="s">
        <v>411</v>
      </c>
      <c r="L91" s="356" t="s">
        <v>411</v>
      </c>
      <c r="M91" s="357">
        <v>29926.83</v>
      </c>
      <c r="N91" s="356" t="s">
        <v>411</v>
      </c>
      <c r="O91" s="356" t="s">
        <v>411</v>
      </c>
      <c r="P91" s="356" t="s">
        <v>411</v>
      </c>
      <c r="Q91" s="356" t="s">
        <v>411</v>
      </c>
      <c r="R91" s="356" t="s">
        <v>411</v>
      </c>
      <c r="S91" s="416">
        <f t="shared" si="9"/>
        <v>29926.83</v>
      </c>
      <c r="T91" s="355">
        <f t="shared" si="10"/>
        <v>0.99756100000000003</v>
      </c>
    </row>
    <row r="92" spans="1:20" s="345" customFormat="1">
      <c r="A92" s="342" t="s">
        <v>266</v>
      </c>
      <c r="B92" s="353" t="s">
        <v>411</v>
      </c>
      <c r="C92" s="353" t="s">
        <v>411</v>
      </c>
      <c r="D92" s="354">
        <v>514900</v>
      </c>
      <c r="E92" s="353" t="s">
        <v>411</v>
      </c>
      <c r="F92" s="353" t="s">
        <v>411</v>
      </c>
      <c r="G92" s="353" t="s">
        <v>411</v>
      </c>
      <c r="H92" s="353" t="s">
        <v>411</v>
      </c>
      <c r="I92" s="354"/>
      <c r="J92" s="416">
        <f t="shared" si="8"/>
        <v>514900</v>
      </c>
      <c r="K92" s="353" t="s">
        <v>411</v>
      </c>
      <c r="L92" s="353" t="s">
        <v>411</v>
      </c>
      <c r="M92" s="354">
        <v>513702</v>
      </c>
      <c r="N92" s="353" t="s">
        <v>411</v>
      </c>
      <c r="O92" s="353" t="s">
        <v>411</v>
      </c>
      <c r="P92" s="353" t="s">
        <v>411</v>
      </c>
      <c r="Q92" s="353" t="s">
        <v>411</v>
      </c>
      <c r="R92" s="353" t="s">
        <v>411</v>
      </c>
      <c r="S92" s="416">
        <f t="shared" si="9"/>
        <v>513702</v>
      </c>
      <c r="T92" s="355">
        <f t="shared" si="10"/>
        <v>0.99767333462808316</v>
      </c>
    </row>
    <row r="93" spans="1:20" s="345" customFormat="1">
      <c r="A93" s="342" t="s">
        <v>184</v>
      </c>
      <c r="B93" s="356" t="s">
        <v>411</v>
      </c>
      <c r="C93" s="356" t="s">
        <v>411</v>
      </c>
      <c r="D93" s="357">
        <v>54600</v>
      </c>
      <c r="E93" s="356" t="s">
        <v>411</v>
      </c>
      <c r="F93" s="356" t="s">
        <v>411</v>
      </c>
      <c r="G93" s="356" t="s">
        <v>411</v>
      </c>
      <c r="H93" s="356" t="s">
        <v>411</v>
      </c>
      <c r="I93" s="357"/>
      <c r="J93" s="416">
        <f t="shared" si="8"/>
        <v>54600</v>
      </c>
      <c r="K93" s="356" t="s">
        <v>411</v>
      </c>
      <c r="L93" s="356" t="s">
        <v>411</v>
      </c>
      <c r="M93" s="357">
        <v>41539</v>
      </c>
      <c r="N93" s="356" t="s">
        <v>411</v>
      </c>
      <c r="O93" s="356" t="s">
        <v>411</v>
      </c>
      <c r="P93" s="356" t="s">
        <v>411</v>
      </c>
      <c r="Q93" s="356" t="s">
        <v>411</v>
      </c>
      <c r="R93" s="356" t="s">
        <v>411</v>
      </c>
      <c r="S93" s="416">
        <f t="shared" si="9"/>
        <v>41539</v>
      </c>
      <c r="T93" s="355">
        <f t="shared" si="10"/>
        <v>0.76078754578754582</v>
      </c>
    </row>
    <row r="94" spans="1:20" s="362" customFormat="1">
      <c r="A94" s="346" t="s">
        <v>444</v>
      </c>
      <c r="B94" s="363">
        <f>SUM(B83:B93)</f>
        <v>0</v>
      </c>
      <c r="C94" s="363">
        <f t="shared" ref="C94:R94" si="15">SUM(C83:C93)</f>
        <v>0</v>
      </c>
      <c r="D94" s="363">
        <f t="shared" si="15"/>
        <v>1749600</v>
      </c>
      <c r="E94" s="363">
        <f t="shared" si="15"/>
        <v>0</v>
      </c>
      <c r="F94" s="363">
        <f t="shared" si="15"/>
        <v>0</v>
      </c>
      <c r="G94" s="363">
        <f t="shared" si="15"/>
        <v>0</v>
      </c>
      <c r="H94" s="363">
        <f t="shared" si="15"/>
        <v>0</v>
      </c>
      <c r="I94" s="363">
        <f t="shared" si="15"/>
        <v>0</v>
      </c>
      <c r="J94" s="416">
        <f t="shared" si="8"/>
        <v>1749600</v>
      </c>
      <c r="K94" s="363">
        <f t="shared" si="15"/>
        <v>0</v>
      </c>
      <c r="L94" s="363">
        <f t="shared" si="15"/>
        <v>0</v>
      </c>
      <c r="M94" s="363">
        <f t="shared" si="15"/>
        <v>1628862.08</v>
      </c>
      <c r="N94" s="363">
        <f t="shared" si="15"/>
        <v>0</v>
      </c>
      <c r="O94" s="363">
        <f t="shared" si="15"/>
        <v>0</v>
      </c>
      <c r="P94" s="363">
        <f t="shared" si="15"/>
        <v>0</v>
      </c>
      <c r="Q94" s="363">
        <f t="shared" si="15"/>
        <v>0</v>
      </c>
      <c r="R94" s="363">
        <f t="shared" si="15"/>
        <v>0</v>
      </c>
      <c r="S94" s="416">
        <f t="shared" si="9"/>
        <v>1628862.08</v>
      </c>
      <c r="T94" s="355">
        <f t="shared" si="10"/>
        <v>0.93099112940100603</v>
      </c>
    </row>
    <row r="95" spans="1:20" s="345" customFormat="1">
      <c r="A95" s="342" t="s">
        <v>185</v>
      </c>
      <c r="B95" s="353" t="s">
        <v>411</v>
      </c>
      <c r="C95" s="353" t="s">
        <v>411</v>
      </c>
      <c r="D95" s="353" t="s">
        <v>411</v>
      </c>
      <c r="E95" s="353" t="s">
        <v>411</v>
      </c>
      <c r="F95" s="353" t="s">
        <v>411</v>
      </c>
      <c r="G95" s="353" t="s">
        <v>411</v>
      </c>
      <c r="H95" s="353" t="s">
        <v>411</v>
      </c>
      <c r="I95" s="353" t="s">
        <v>411</v>
      </c>
      <c r="J95" s="416">
        <f t="shared" si="8"/>
        <v>0</v>
      </c>
      <c r="K95" s="353" t="s">
        <v>411</v>
      </c>
      <c r="L95" s="353" t="s">
        <v>411</v>
      </c>
      <c r="M95" s="353" t="s">
        <v>411</v>
      </c>
      <c r="N95" s="353" t="s">
        <v>411</v>
      </c>
      <c r="O95" s="353" t="s">
        <v>411</v>
      </c>
      <c r="P95" s="353" t="s">
        <v>411</v>
      </c>
      <c r="Q95" s="353" t="s">
        <v>411</v>
      </c>
      <c r="R95" s="353" t="s">
        <v>411</v>
      </c>
      <c r="S95" s="416">
        <f t="shared" si="9"/>
        <v>0</v>
      </c>
      <c r="T95" s="355" t="e">
        <f t="shared" si="10"/>
        <v>#DIV/0!</v>
      </c>
    </row>
    <row r="96" spans="1:20" s="345" customFormat="1">
      <c r="A96" s="342" t="s">
        <v>186</v>
      </c>
      <c r="B96" s="356" t="s">
        <v>411</v>
      </c>
      <c r="C96" s="356" t="s">
        <v>411</v>
      </c>
      <c r="D96" s="356" t="s">
        <v>411</v>
      </c>
      <c r="E96" s="356" t="s">
        <v>411</v>
      </c>
      <c r="F96" s="356" t="s">
        <v>411</v>
      </c>
      <c r="G96" s="356" t="s">
        <v>411</v>
      </c>
      <c r="H96" s="356" t="s">
        <v>411</v>
      </c>
      <c r="I96" s="357">
        <v>409149</v>
      </c>
      <c r="J96" s="416">
        <f t="shared" si="8"/>
        <v>409149</v>
      </c>
      <c r="K96" s="356" t="s">
        <v>411</v>
      </c>
      <c r="L96" s="356" t="s">
        <v>411</v>
      </c>
      <c r="M96" s="356" t="s">
        <v>411</v>
      </c>
      <c r="N96" s="356" t="s">
        <v>411</v>
      </c>
      <c r="O96" s="356" t="s">
        <v>411</v>
      </c>
      <c r="P96" s="356" t="s">
        <v>411</v>
      </c>
      <c r="Q96" s="356" t="s">
        <v>411</v>
      </c>
      <c r="R96" s="357">
        <v>409149</v>
      </c>
      <c r="S96" s="416">
        <f t="shared" si="9"/>
        <v>409149</v>
      </c>
      <c r="T96" s="355">
        <f t="shared" si="10"/>
        <v>1</v>
      </c>
    </row>
    <row r="97" spans="1:20" s="362" customFormat="1">
      <c r="A97" s="346" t="s">
        <v>445</v>
      </c>
      <c r="B97" s="363">
        <f>SUM(B95:B96)</f>
        <v>0</v>
      </c>
      <c r="C97" s="363">
        <f t="shared" ref="C97:R97" si="16">SUM(C95:C96)</f>
        <v>0</v>
      </c>
      <c r="D97" s="363">
        <f t="shared" si="16"/>
        <v>0</v>
      </c>
      <c r="E97" s="363">
        <f t="shared" si="16"/>
        <v>0</v>
      </c>
      <c r="F97" s="363">
        <f t="shared" si="16"/>
        <v>0</v>
      </c>
      <c r="G97" s="363">
        <f t="shared" si="16"/>
        <v>0</v>
      </c>
      <c r="H97" s="363">
        <f t="shared" si="16"/>
        <v>0</v>
      </c>
      <c r="I97" s="363">
        <f t="shared" si="16"/>
        <v>409149</v>
      </c>
      <c r="J97" s="416">
        <f t="shared" si="8"/>
        <v>409149</v>
      </c>
      <c r="K97" s="363">
        <f t="shared" si="16"/>
        <v>0</v>
      </c>
      <c r="L97" s="363">
        <f t="shared" si="16"/>
        <v>0</v>
      </c>
      <c r="M97" s="363">
        <f t="shared" si="16"/>
        <v>0</v>
      </c>
      <c r="N97" s="363">
        <f t="shared" si="16"/>
        <v>0</v>
      </c>
      <c r="O97" s="363">
        <f t="shared" si="16"/>
        <v>0</v>
      </c>
      <c r="P97" s="363">
        <f t="shared" si="16"/>
        <v>0</v>
      </c>
      <c r="Q97" s="363">
        <f t="shared" si="16"/>
        <v>0</v>
      </c>
      <c r="R97" s="363">
        <f t="shared" si="16"/>
        <v>409149</v>
      </c>
      <c r="S97" s="416">
        <f t="shared" si="9"/>
        <v>409149</v>
      </c>
      <c r="T97" s="355">
        <f t="shared" si="10"/>
        <v>1</v>
      </c>
    </row>
    <row r="98" spans="1:20" s="362" customFormat="1">
      <c r="A98" s="346" t="s">
        <v>329</v>
      </c>
      <c r="B98" s="359" t="s">
        <v>411</v>
      </c>
      <c r="C98" s="359" t="s">
        <v>411</v>
      </c>
      <c r="D98" s="360">
        <v>2000000</v>
      </c>
      <c r="E98" s="359" t="s">
        <v>411</v>
      </c>
      <c r="F98" s="359" t="s">
        <v>411</v>
      </c>
      <c r="G98" s="359" t="s">
        <v>411</v>
      </c>
      <c r="H98" s="359" t="s">
        <v>411</v>
      </c>
      <c r="I98" s="360">
        <v>199800</v>
      </c>
      <c r="J98" s="416">
        <f t="shared" si="8"/>
        <v>2199800</v>
      </c>
      <c r="K98" s="359" t="s">
        <v>411</v>
      </c>
      <c r="L98" s="359" t="s">
        <v>411</v>
      </c>
      <c r="M98" s="360">
        <v>1988747.65</v>
      </c>
      <c r="N98" s="359" t="s">
        <v>411</v>
      </c>
      <c r="O98" s="359" t="s">
        <v>411</v>
      </c>
      <c r="P98" s="359" t="s">
        <v>411</v>
      </c>
      <c r="Q98" s="359" t="s">
        <v>411</v>
      </c>
      <c r="R98" s="360">
        <v>199800</v>
      </c>
      <c r="S98" s="416">
        <f t="shared" si="9"/>
        <v>2188547.65</v>
      </c>
      <c r="T98" s="355">
        <f t="shared" si="10"/>
        <v>0.99488483043913079</v>
      </c>
    </row>
    <row r="99" spans="1:20" s="345" customFormat="1">
      <c r="A99" s="342" t="s">
        <v>187</v>
      </c>
      <c r="B99" s="356" t="s">
        <v>411</v>
      </c>
      <c r="C99" s="356" t="s">
        <v>411</v>
      </c>
      <c r="D99" s="357">
        <v>466150</v>
      </c>
      <c r="E99" s="356" t="s">
        <v>411</v>
      </c>
      <c r="F99" s="356" t="s">
        <v>411</v>
      </c>
      <c r="G99" s="356" t="s">
        <v>411</v>
      </c>
      <c r="H99" s="356" t="s">
        <v>411</v>
      </c>
      <c r="I99" s="357">
        <v>39920</v>
      </c>
      <c r="J99" s="416">
        <f t="shared" si="8"/>
        <v>506070</v>
      </c>
      <c r="K99" s="356" t="s">
        <v>411</v>
      </c>
      <c r="L99" s="356" t="s">
        <v>411</v>
      </c>
      <c r="M99" s="357">
        <v>421595</v>
      </c>
      <c r="N99" s="356" t="s">
        <v>411</v>
      </c>
      <c r="O99" s="356" t="s">
        <v>411</v>
      </c>
      <c r="P99" s="356" t="s">
        <v>411</v>
      </c>
      <c r="Q99" s="356" t="s">
        <v>411</v>
      </c>
      <c r="R99" s="357">
        <v>39920</v>
      </c>
      <c r="S99" s="416">
        <f t="shared" si="9"/>
        <v>461515</v>
      </c>
      <c r="T99" s="355">
        <f t="shared" si="10"/>
        <v>0.91195881992609718</v>
      </c>
    </row>
    <row r="100" spans="1:20" s="345" customFormat="1">
      <c r="A100" s="342" t="s">
        <v>267</v>
      </c>
      <c r="B100" s="353" t="s">
        <v>411</v>
      </c>
      <c r="C100" s="353" t="s">
        <v>411</v>
      </c>
      <c r="D100" s="354">
        <v>892050</v>
      </c>
      <c r="E100" s="353" t="s">
        <v>411</v>
      </c>
      <c r="F100" s="353" t="s">
        <v>411</v>
      </c>
      <c r="G100" s="353" t="s">
        <v>411</v>
      </c>
      <c r="H100" s="353" t="s">
        <v>411</v>
      </c>
      <c r="I100" s="353" t="s">
        <v>411</v>
      </c>
      <c r="J100" s="416">
        <f t="shared" si="8"/>
        <v>892050</v>
      </c>
      <c r="K100" s="353" t="s">
        <v>411</v>
      </c>
      <c r="L100" s="353" t="s">
        <v>411</v>
      </c>
      <c r="M100" s="354">
        <v>852866.4</v>
      </c>
      <c r="N100" s="353" t="s">
        <v>411</v>
      </c>
      <c r="O100" s="353" t="s">
        <v>411</v>
      </c>
      <c r="P100" s="353" t="s">
        <v>411</v>
      </c>
      <c r="Q100" s="353" t="s">
        <v>411</v>
      </c>
      <c r="R100" s="353" t="s">
        <v>411</v>
      </c>
      <c r="S100" s="416">
        <f t="shared" si="9"/>
        <v>852866.4</v>
      </c>
      <c r="T100" s="355">
        <f t="shared" si="10"/>
        <v>0.95607465949218096</v>
      </c>
    </row>
    <row r="101" spans="1:20" s="345" customFormat="1">
      <c r="A101" s="342" t="s">
        <v>268</v>
      </c>
      <c r="B101" s="356" t="s">
        <v>411</v>
      </c>
      <c r="C101" s="356" t="s">
        <v>411</v>
      </c>
      <c r="D101" s="357">
        <v>141800</v>
      </c>
      <c r="E101" s="356" t="s">
        <v>411</v>
      </c>
      <c r="F101" s="356" t="s">
        <v>411</v>
      </c>
      <c r="G101" s="356" t="s">
        <v>411</v>
      </c>
      <c r="H101" s="356" t="s">
        <v>411</v>
      </c>
      <c r="I101" s="356" t="s">
        <v>411</v>
      </c>
      <c r="J101" s="416">
        <f t="shared" si="8"/>
        <v>141800</v>
      </c>
      <c r="K101" s="356" t="s">
        <v>411</v>
      </c>
      <c r="L101" s="356" t="s">
        <v>411</v>
      </c>
      <c r="M101" s="357">
        <v>127650</v>
      </c>
      <c r="N101" s="356" t="s">
        <v>411</v>
      </c>
      <c r="O101" s="356" t="s">
        <v>411</v>
      </c>
      <c r="P101" s="356" t="s">
        <v>411</v>
      </c>
      <c r="Q101" s="356" t="s">
        <v>411</v>
      </c>
      <c r="R101" s="356" t="s">
        <v>411</v>
      </c>
      <c r="S101" s="416">
        <f t="shared" si="9"/>
        <v>127650</v>
      </c>
      <c r="T101" s="355">
        <f t="shared" si="10"/>
        <v>0.90021156558533144</v>
      </c>
    </row>
    <row r="102" spans="1:20" s="345" customFormat="1">
      <c r="A102" s="342" t="s">
        <v>355</v>
      </c>
      <c r="B102" s="353" t="s">
        <v>411</v>
      </c>
      <c r="C102" s="353" t="s">
        <v>411</v>
      </c>
      <c r="D102" s="354">
        <v>17328</v>
      </c>
      <c r="E102" s="353" t="s">
        <v>411</v>
      </c>
      <c r="F102" s="353" t="s">
        <v>411</v>
      </c>
      <c r="G102" s="353" t="s">
        <v>411</v>
      </c>
      <c r="H102" s="353" t="s">
        <v>411</v>
      </c>
      <c r="I102" s="354">
        <v>179649.74</v>
      </c>
      <c r="J102" s="416">
        <f t="shared" si="8"/>
        <v>196977.74</v>
      </c>
      <c r="K102" s="353" t="s">
        <v>411</v>
      </c>
      <c r="L102" s="353" t="s">
        <v>411</v>
      </c>
      <c r="M102" s="354">
        <v>17328</v>
      </c>
      <c r="N102" s="353" t="s">
        <v>411</v>
      </c>
      <c r="O102" s="353" t="s">
        <v>411</v>
      </c>
      <c r="P102" s="353" t="s">
        <v>411</v>
      </c>
      <c r="Q102" s="353" t="s">
        <v>411</v>
      </c>
      <c r="R102" s="354">
        <v>179649.74</v>
      </c>
      <c r="S102" s="416">
        <f t="shared" si="9"/>
        <v>196977.74</v>
      </c>
      <c r="T102" s="355">
        <f t="shared" si="10"/>
        <v>1</v>
      </c>
    </row>
    <row r="103" spans="1:20" s="362" customFormat="1">
      <c r="A103" s="346" t="s">
        <v>446</v>
      </c>
      <c r="B103" s="359">
        <f>SUM(B99:B102)</f>
        <v>0</v>
      </c>
      <c r="C103" s="359">
        <f t="shared" ref="C103:R103" si="17">SUM(C99:C102)</f>
        <v>0</v>
      </c>
      <c r="D103" s="359">
        <f t="shared" si="17"/>
        <v>1517328</v>
      </c>
      <c r="E103" s="359">
        <f t="shared" si="17"/>
        <v>0</v>
      </c>
      <c r="F103" s="359">
        <f t="shared" si="17"/>
        <v>0</v>
      </c>
      <c r="G103" s="359">
        <f t="shared" si="17"/>
        <v>0</v>
      </c>
      <c r="H103" s="359">
        <f t="shared" si="17"/>
        <v>0</v>
      </c>
      <c r="I103" s="359">
        <f t="shared" si="17"/>
        <v>219569.74</v>
      </c>
      <c r="J103" s="416">
        <f t="shared" si="8"/>
        <v>1736897.74</v>
      </c>
      <c r="K103" s="359">
        <f t="shared" si="17"/>
        <v>0</v>
      </c>
      <c r="L103" s="359">
        <f t="shared" si="17"/>
        <v>0</v>
      </c>
      <c r="M103" s="359">
        <f t="shared" si="17"/>
        <v>1419439.4</v>
      </c>
      <c r="N103" s="359">
        <f t="shared" si="17"/>
        <v>0</v>
      </c>
      <c r="O103" s="359">
        <f t="shared" si="17"/>
        <v>0</v>
      </c>
      <c r="P103" s="359">
        <f t="shared" si="17"/>
        <v>0</v>
      </c>
      <c r="Q103" s="359">
        <f t="shared" si="17"/>
        <v>0</v>
      </c>
      <c r="R103" s="359">
        <f t="shared" si="17"/>
        <v>219569.74</v>
      </c>
      <c r="S103" s="416">
        <f t="shared" si="9"/>
        <v>1639009.14</v>
      </c>
      <c r="T103" s="355">
        <f t="shared" si="10"/>
        <v>0.94364170224552191</v>
      </c>
    </row>
    <row r="104" spans="1:20" s="362" customFormat="1">
      <c r="A104" s="346" t="s">
        <v>447</v>
      </c>
      <c r="B104" s="363" t="s">
        <v>411</v>
      </c>
      <c r="C104" s="363" t="s">
        <v>411</v>
      </c>
      <c r="D104" s="363" t="s">
        <v>411</v>
      </c>
      <c r="E104" s="363" t="s">
        <v>411</v>
      </c>
      <c r="F104" s="363" t="s">
        <v>411</v>
      </c>
      <c r="G104" s="363" t="s">
        <v>411</v>
      </c>
      <c r="H104" s="363" t="s">
        <v>411</v>
      </c>
      <c r="I104" s="364">
        <v>7500</v>
      </c>
      <c r="J104" s="416">
        <f t="shared" si="8"/>
        <v>7500</v>
      </c>
      <c r="K104" s="363" t="s">
        <v>411</v>
      </c>
      <c r="L104" s="363" t="s">
        <v>411</v>
      </c>
      <c r="M104" s="363" t="s">
        <v>411</v>
      </c>
      <c r="N104" s="363" t="s">
        <v>411</v>
      </c>
      <c r="O104" s="363" t="s">
        <v>411</v>
      </c>
      <c r="P104" s="363" t="s">
        <v>411</v>
      </c>
      <c r="Q104" s="363" t="s">
        <v>411</v>
      </c>
      <c r="R104" s="364">
        <v>7500</v>
      </c>
      <c r="S104" s="416">
        <f t="shared" si="9"/>
        <v>7500</v>
      </c>
      <c r="T104" s="355">
        <f t="shared" si="10"/>
        <v>1</v>
      </c>
    </row>
    <row r="105" spans="1:20" s="362" customFormat="1">
      <c r="A105" s="346" t="s">
        <v>188</v>
      </c>
      <c r="B105" s="359" t="s">
        <v>411</v>
      </c>
      <c r="C105" s="359" t="s">
        <v>411</v>
      </c>
      <c r="D105" s="360">
        <v>83700</v>
      </c>
      <c r="E105" s="359" t="s">
        <v>411</v>
      </c>
      <c r="F105" s="359" t="s">
        <v>411</v>
      </c>
      <c r="G105" s="359" t="s">
        <v>411</v>
      </c>
      <c r="H105" s="359" t="s">
        <v>411</v>
      </c>
      <c r="I105" s="360">
        <v>0</v>
      </c>
      <c r="J105" s="416">
        <f t="shared" si="8"/>
        <v>83700</v>
      </c>
      <c r="K105" s="359" t="s">
        <v>411</v>
      </c>
      <c r="L105" s="359" t="s">
        <v>411</v>
      </c>
      <c r="M105" s="360">
        <v>74300</v>
      </c>
      <c r="N105" s="359" t="s">
        <v>411</v>
      </c>
      <c r="O105" s="359" t="s">
        <v>411</v>
      </c>
      <c r="P105" s="359" t="s">
        <v>411</v>
      </c>
      <c r="Q105" s="359" t="s">
        <v>411</v>
      </c>
      <c r="R105" s="360">
        <v>0</v>
      </c>
      <c r="S105" s="416">
        <f t="shared" si="9"/>
        <v>74300</v>
      </c>
      <c r="T105" s="355">
        <f t="shared" si="10"/>
        <v>0.8876941457586619</v>
      </c>
    </row>
    <row r="106" spans="1:20" s="362" customFormat="1">
      <c r="A106" s="346" t="s">
        <v>189</v>
      </c>
      <c r="B106" s="359" t="s">
        <v>411</v>
      </c>
      <c r="C106" s="359" t="s">
        <v>411</v>
      </c>
      <c r="D106" s="359" t="s">
        <v>411</v>
      </c>
      <c r="E106" s="359" t="s">
        <v>411</v>
      </c>
      <c r="F106" s="359" t="s">
        <v>411</v>
      </c>
      <c r="G106" s="359" t="s">
        <v>411</v>
      </c>
      <c r="H106" s="359" t="s">
        <v>411</v>
      </c>
      <c r="I106" s="360">
        <v>147462.5</v>
      </c>
      <c r="J106" s="416">
        <f t="shared" si="8"/>
        <v>147462.5</v>
      </c>
      <c r="K106" s="359" t="s">
        <v>411</v>
      </c>
      <c r="L106" s="359" t="s">
        <v>411</v>
      </c>
      <c r="M106" s="359" t="s">
        <v>411</v>
      </c>
      <c r="N106" s="359" t="s">
        <v>411</v>
      </c>
      <c r="O106" s="359" t="s">
        <v>411</v>
      </c>
      <c r="P106" s="359" t="s">
        <v>411</v>
      </c>
      <c r="Q106" s="359" t="s">
        <v>411</v>
      </c>
      <c r="R106" s="360">
        <v>147462.5</v>
      </c>
      <c r="S106" s="416">
        <f t="shared" si="9"/>
        <v>147462.5</v>
      </c>
      <c r="T106" s="355">
        <f t="shared" si="10"/>
        <v>1</v>
      </c>
    </row>
    <row r="107" spans="1:20" s="423" customFormat="1">
      <c r="A107" s="420" t="s">
        <v>191</v>
      </c>
      <c r="B107" s="421">
        <v>70606478.719999999</v>
      </c>
      <c r="C107" s="421">
        <v>1272347</v>
      </c>
      <c r="D107" s="421">
        <v>8685950.6500000004</v>
      </c>
      <c r="E107" s="421">
        <v>16703545.810000001</v>
      </c>
      <c r="F107" s="421">
        <f>SUM(F113-F120)</f>
        <v>7816550</v>
      </c>
      <c r="G107" s="421">
        <v>115159904.19</v>
      </c>
      <c r="H107" s="421">
        <v>184714787.34999999</v>
      </c>
      <c r="I107" s="421">
        <f>SUM(I121-6986972.5)</f>
        <v>7152883.7400000021</v>
      </c>
      <c r="J107" s="419">
        <f t="shared" si="8"/>
        <v>412112447.46000004</v>
      </c>
      <c r="K107" s="421">
        <v>70606478.719999999</v>
      </c>
      <c r="L107" s="421">
        <v>1272347</v>
      </c>
      <c r="M107" s="421">
        <v>8370536.9800000004</v>
      </c>
      <c r="N107" s="421">
        <v>16604925.109999999</v>
      </c>
      <c r="O107" s="421">
        <f>6946350</f>
        <v>6946350</v>
      </c>
      <c r="P107" s="421">
        <v>84231900</v>
      </c>
      <c r="Q107" s="421">
        <v>184584512.91999999</v>
      </c>
      <c r="R107" s="421">
        <f>SUM(R121-31397.68)</f>
        <v>7152883.7400000021</v>
      </c>
      <c r="S107" s="419">
        <f>SUM(K107:R107)</f>
        <v>379769934.47000003</v>
      </c>
      <c r="T107" s="422">
        <f t="shared" si="10"/>
        <v>0.92152017443457779</v>
      </c>
    </row>
    <row r="108" spans="1:20" s="362" customFormat="1">
      <c r="A108" s="346" t="s">
        <v>192</v>
      </c>
      <c r="B108" s="359" t="s">
        <v>411</v>
      </c>
      <c r="C108" s="359" t="s">
        <v>411</v>
      </c>
      <c r="D108" s="360">
        <v>250000</v>
      </c>
      <c r="E108" s="359" t="s">
        <v>411</v>
      </c>
      <c r="F108" s="359" t="s">
        <v>411</v>
      </c>
      <c r="G108" s="359" t="s">
        <v>411</v>
      </c>
      <c r="H108" s="359" t="s">
        <v>411</v>
      </c>
      <c r="I108" s="359" t="s">
        <v>411</v>
      </c>
      <c r="J108" s="416">
        <f t="shared" si="8"/>
        <v>250000</v>
      </c>
      <c r="K108" s="359" t="s">
        <v>411</v>
      </c>
      <c r="L108" s="359" t="s">
        <v>411</v>
      </c>
      <c r="M108" s="360">
        <v>233830</v>
      </c>
      <c r="N108" s="359" t="s">
        <v>411</v>
      </c>
      <c r="O108" s="359" t="s">
        <v>411</v>
      </c>
      <c r="P108" s="359" t="s">
        <v>411</v>
      </c>
      <c r="Q108" s="359" t="s">
        <v>411</v>
      </c>
      <c r="R108" s="359" t="s">
        <v>411</v>
      </c>
      <c r="S108" s="416">
        <f t="shared" si="9"/>
        <v>233830</v>
      </c>
      <c r="T108" s="355">
        <f t="shared" si="10"/>
        <v>0.93532000000000004</v>
      </c>
    </row>
    <row r="109" spans="1:20" s="362" customFormat="1">
      <c r="A109" s="346" t="s">
        <v>206</v>
      </c>
      <c r="B109" s="363" t="s">
        <v>411</v>
      </c>
      <c r="C109" s="363" t="s">
        <v>411</v>
      </c>
      <c r="D109" s="363" t="s">
        <v>411</v>
      </c>
      <c r="E109" s="363" t="s">
        <v>411</v>
      </c>
      <c r="F109" s="363" t="s">
        <v>411</v>
      </c>
      <c r="G109" s="363" t="s">
        <v>411</v>
      </c>
      <c r="H109" s="364">
        <v>411100</v>
      </c>
      <c r="I109" s="364">
        <v>4860</v>
      </c>
      <c r="J109" s="416">
        <f t="shared" si="8"/>
        <v>415960</v>
      </c>
      <c r="K109" s="363" t="s">
        <v>411</v>
      </c>
      <c r="L109" s="363" t="s">
        <v>411</v>
      </c>
      <c r="M109" s="363" t="s">
        <v>411</v>
      </c>
      <c r="N109" s="363" t="s">
        <v>411</v>
      </c>
      <c r="O109" s="363" t="s">
        <v>411</v>
      </c>
      <c r="P109" s="363" t="s">
        <v>411</v>
      </c>
      <c r="Q109" s="364">
        <v>114550.45</v>
      </c>
      <c r="R109" s="364">
        <v>4860</v>
      </c>
      <c r="S109" s="416">
        <f t="shared" si="9"/>
        <v>119410.45</v>
      </c>
      <c r="T109" s="355">
        <f t="shared" si="10"/>
        <v>0.28707195403404173</v>
      </c>
    </row>
    <row r="113" spans="1:20" s="345" customFormat="1" ht="21">
      <c r="A113" s="344" t="s">
        <v>4</v>
      </c>
      <c r="B113" s="366">
        <v>70606478.719999999</v>
      </c>
      <c r="C113" s="366">
        <v>1272347</v>
      </c>
      <c r="D113" s="366">
        <v>25295438.649999999</v>
      </c>
      <c r="E113" s="366">
        <v>16703545.810000001</v>
      </c>
      <c r="F113" s="366">
        <v>19603850</v>
      </c>
      <c r="G113" s="366">
        <v>115159904.19</v>
      </c>
      <c r="H113" s="366">
        <v>192949287.34999999</v>
      </c>
      <c r="I113" s="366">
        <v>52829391.420000002</v>
      </c>
      <c r="J113" s="418">
        <v>494420243.13999999</v>
      </c>
      <c r="K113" s="366">
        <v>70606478.719999999</v>
      </c>
      <c r="L113" s="366">
        <v>1272347</v>
      </c>
      <c r="M113" s="366">
        <v>24153723.460000001</v>
      </c>
      <c r="N113" s="366">
        <v>16604925.109999999</v>
      </c>
      <c r="O113" s="366">
        <v>16981950</v>
      </c>
      <c r="P113" s="366">
        <v>84231900</v>
      </c>
      <c r="Q113" s="366">
        <v>192522463.37</v>
      </c>
      <c r="R113" s="366">
        <v>45873816.600000001</v>
      </c>
      <c r="S113" s="416">
        <f>SUM(K113:R113)</f>
        <v>452247604.26000005</v>
      </c>
      <c r="T113" s="367">
        <v>0.91469999999999996</v>
      </c>
    </row>
    <row r="117" spans="1:20">
      <c r="O117" s="421">
        <f>6946350</f>
        <v>6946350</v>
      </c>
      <c r="P117" s="421">
        <v>84231900</v>
      </c>
      <c r="Q117" s="421">
        <v>184584512.91999999</v>
      </c>
      <c r="R117" s="421">
        <f>7191781.42</f>
        <v>7191781.4199999999</v>
      </c>
    </row>
    <row r="118" spans="1:20">
      <c r="F118" s="421">
        <f>7773650</f>
        <v>7773650</v>
      </c>
      <c r="G118" s="421">
        <v>115159904.19</v>
      </c>
      <c r="H118" s="421">
        <v>184714787.34999999</v>
      </c>
      <c r="I118" s="421">
        <v>7871864.4199999999</v>
      </c>
    </row>
    <row r="119" spans="1:20">
      <c r="H119" t="s">
        <v>480</v>
      </c>
      <c r="I119" s="91">
        <v>38689535.18</v>
      </c>
      <c r="N119" t="s">
        <v>482</v>
      </c>
      <c r="O119" s="424">
        <v>10035600</v>
      </c>
      <c r="Q119" t="s">
        <v>481</v>
      </c>
      <c r="R119" s="91">
        <v>38689535.18</v>
      </c>
    </row>
    <row r="120" spans="1:20">
      <c r="E120" t="s">
        <v>480</v>
      </c>
      <c r="F120" s="424">
        <v>11787300</v>
      </c>
    </row>
    <row r="121" spans="1:20">
      <c r="I121" s="91">
        <f>SUM(I113-I119)</f>
        <v>14139856.240000002</v>
      </c>
      <c r="R121" s="91">
        <f>SUM(R113-R119)</f>
        <v>7184281.4200000018</v>
      </c>
    </row>
    <row r="122" spans="1:20">
      <c r="F122" s="91">
        <f>SUM(F113-F120)</f>
        <v>7816550</v>
      </c>
    </row>
  </sheetData>
  <mergeCells count="10">
    <mergeCell ref="S2:S3"/>
    <mergeCell ref="B1:J1"/>
    <mergeCell ref="K1:S1"/>
    <mergeCell ref="B2:C2"/>
    <mergeCell ref="D2:E2"/>
    <mergeCell ref="F2:G2"/>
    <mergeCell ref="J2:J3"/>
    <mergeCell ref="K2:L2"/>
    <mergeCell ref="M2:N2"/>
    <mergeCell ref="O2:P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
  <sheetViews>
    <sheetView workbookViewId="0">
      <selection activeCell="A7" sqref="A7"/>
    </sheetView>
  </sheetViews>
  <sheetFormatPr defaultRowHeight="26.25"/>
  <cols>
    <col min="1" max="16384" width="9" style="2"/>
  </cols>
  <sheetData>
    <row r="1" spans="1:13">
      <c r="A1" s="457" t="s">
        <v>68</v>
      </c>
      <c r="B1" s="457"/>
      <c r="C1" s="457"/>
      <c r="D1" s="457"/>
      <c r="E1" s="457"/>
      <c r="F1" s="457"/>
      <c r="G1" s="457"/>
      <c r="H1" s="457"/>
      <c r="I1" s="457"/>
      <c r="J1" s="457"/>
      <c r="K1" s="457"/>
      <c r="L1" s="457"/>
      <c r="M1" s="457"/>
    </row>
    <row r="2" spans="1:13">
      <c r="A2" s="3" t="s">
        <v>69</v>
      </c>
      <c r="B2" s="3"/>
      <c r="C2" s="3"/>
      <c r="D2" s="3"/>
      <c r="E2" s="3"/>
      <c r="F2" s="3"/>
      <c r="G2" s="3"/>
      <c r="H2" s="3"/>
      <c r="I2" s="3"/>
      <c r="J2" s="3"/>
      <c r="K2" s="3"/>
      <c r="L2" s="4" t="s">
        <v>70</v>
      </c>
      <c r="M2" s="3"/>
    </row>
    <row r="3" spans="1:13">
      <c r="A3" s="3"/>
      <c r="B3" s="3"/>
      <c r="C3" s="3"/>
      <c r="D3" s="3"/>
      <c r="E3" s="3"/>
      <c r="F3" s="3"/>
      <c r="G3" s="3"/>
      <c r="H3" s="3"/>
      <c r="I3" s="3"/>
      <c r="J3" s="3"/>
      <c r="K3" s="3"/>
      <c r="L3" s="4"/>
      <c r="M3" s="3"/>
    </row>
    <row r="4" spans="1:13">
      <c r="A4" s="5" t="s">
        <v>82</v>
      </c>
    </row>
    <row r="5" spans="1:13">
      <c r="A5" s="5" t="s">
        <v>363</v>
      </c>
      <c r="B5" s="5"/>
      <c r="C5" s="5"/>
      <c r="D5" s="5"/>
      <c r="E5" s="5"/>
      <c r="F5" s="5"/>
      <c r="G5" s="5"/>
      <c r="H5" s="5"/>
      <c r="I5" s="5"/>
      <c r="J5" s="5"/>
      <c r="K5" s="5"/>
      <c r="L5" s="5">
        <v>1</v>
      </c>
      <c r="M5" s="6"/>
    </row>
    <row r="6" spans="1:13">
      <c r="A6" s="5" t="s">
        <v>364</v>
      </c>
      <c r="B6" s="5"/>
      <c r="C6" s="5"/>
      <c r="D6" s="5"/>
      <c r="E6" s="5"/>
      <c r="F6" s="5"/>
      <c r="G6" s="5"/>
      <c r="H6" s="5"/>
      <c r="I6" s="5"/>
      <c r="J6" s="5"/>
      <c r="K6" s="5"/>
      <c r="L6" s="7">
        <v>28</v>
      </c>
      <c r="M6" s="6"/>
    </row>
    <row r="7" spans="1:13">
      <c r="A7" s="415" t="s">
        <v>459</v>
      </c>
      <c r="L7" s="5">
        <v>29</v>
      </c>
    </row>
  </sheetData>
  <mergeCells count="1">
    <mergeCell ref="A1:M1"/>
  </mergeCells>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15"/>
  <sheetViews>
    <sheetView zoomScaleNormal="100" workbookViewId="0">
      <pane xSplit="1" ySplit="3" topLeftCell="B104" activePane="bottomRight" state="frozen"/>
      <selection pane="topRight" activeCell="B1" sqref="B1"/>
      <selection pane="bottomLeft" activeCell="A4" sqref="A4"/>
      <selection pane="bottomRight" activeCell="G117" sqref="G117"/>
    </sheetView>
  </sheetViews>
  <sheetFormatPr defaultRowHeight="14.25"/>
  <cols>
    <col min="1" max="1" width="49.25" customWidth="1"/>
    <col min="2" max="2" width="5.625" bestFit="1" customWidth="1"/>
    <col min="3" max="3" width="8.625" bestFit="1" customWidth="1"/>
    <col min="4" max="4" width="9.5" bestFit="1" customWidth="1"/>
    <col min="5" max="7" width="8.75" bestFit="1" customWidth="1"/>
    <col min="8" max="8" width="9.5" bestFit="1" customWidth="1"/>
    <col min="9" max="9" width="8.75" bestFit="1" customWidth="1"/>
    <col min="10" max="10" width="10.25" bestFit="1" customWidth="1"/>
    <col min="11" max="11" width="5.625" bestFit="1" customWidth="1"/>
    <col min="12" max="12" width="8.625" bestFit="1" customWidth="1"/>
    <col min="13" max="13" width="9.5" bestFit="1" customWidth="1"/>
    <col min="14" max="14" width="12.75" bestFit="1" customWidth="1"/>
    <col min="15" max="15" width="7.625" bestFit="1" customWidth="1"/>
    <col min="16" max="16" width="11.75" bestFit="1" customWidth="1"/>
    <col min="17" max="17" width="9.5" bestFit="1" customWidth="1"/>
    <col min="18" max="18" width="8.75" bestFit="1" customWidth="1"/>
    <col min="19" max="19" width="9.5" bestFit="1" customWidth="1"/>
    <col min="20" max="20" width="6.125" bestFit="1" customWidth="1"/>
    <col min="257" max="257" width="27.75" customWidth="1"/>
    <col min="513" max="513" width="27.75" customWidth="1"/>
    <col min="769" max="769" width="27.75" customWidth="1"/>
    <col min="1025" max="1025" width="27.75" customWidth="1"/>
    <col min="1281" max="1281" width="27.75" customWidth="1"/>
    <col min="1537" max="1537" width="27.75" customWidth="1"/>
    <col min="1793" max="1793" width="27.75" customWidth="1"/>
    <col min="2049" max="2049" width="27.75" customWidth="1"/>
    <col min="2305" max="2305" width="27.75" customWidth="1"/>
    <col min="2561" max="2561" width="27.75" customWidth="1"/>
    <col min="2817" max="2817" width="27.75" customWidth="1"/>
    <col min="3073" max="3073" width="27.75" customWidth="1"/>
    <col min="3329" max="3329" width="27.75" customWidth="1"/>
    <col min="3585" max="3585" width="27.75" customWidth="1"/>
    <col min="3841" max="3841" width="27.75" customWidth="1"/>
    <col min="4097" max="4097" width="27.75" customWidth="1"/>
    <col min="4353" max="4353" width="27.75" customWidth="1"/>
    <col min="4609" max="4609" width="27.75" customWidth="1"/>
    <col min="4865" max="4865" width="27.75" customWidth="1"/>
    <col min="5121" max="5121" width="27.75" customWidth="1"/>
    <col min="5377" max="5377" width="27.75" customWidth="1"/>
    <col min="5633" max="5633" width="27.75" customWidth="1"/>
    <col min="5889" max="5889" width="27.75" customWidth="1"/>
    <col min="6145" max="6145" width="27.75" customWidth="1"/>
    <col min="6401" max="6401" width="27.75" customWidth="1"/>
    <col min="6657" max="6657" width="27.75" customWidth="1"/>
    <col min="6913" max="6913" width="27.75" customWidth="1"/>
    <col min="7169" max="7169" width="27.75" customWidth="1"/>
    <col min="7425" max="7425" width="27.75" customWidth="1"/>
    <col min="7681" max="7681" width="27.75" customWidth="1"/>
    <col min="7937" max="7937" width="27.75" customWidth="1"/>
    <col min="8193" max="8193" width="27.75" customWidth="1"/>
    <col min="8449" max="8449" width="27.75" customWidth="1"/>
    <col min="8705" max="8705" width="27.75" customWidth="1"/>
    <col min="8961" max="8961" width="27.75" customWidth="1"/>
    <col min="9217" max="9217" width="27.75" customWidth="1"/>
    <col min="9473" max="9473" width="27.75" customWidth="1"/>
    <col min="9729" max="9729" width="27.75" customWidth="1"/>
    <col min="9985" max="9985" width="27.75" customWidth="1"/>
    <col min="10241" max="10241" width="27.75" customWidth="1"/>
    <col min="10497" max="10497" width="27.75" customWidth="1"/>
    <col min="10753" max="10753" width="27.75" customWidth="1"/>
    <col min="11009" max="11009" width="27.75" customWidth="1"/>
    <col min="11265" max="11265" width="27.75" customWidth="1"/>
    <col min="11521" max="11521" width="27.75" customWidth="1"/>
    <col min="11777" max="11777" width="27.75" customWidth="1"/>
    <col min="12033" max="12033" width="27.75" customWidth="1"/>
    <col min="12289" max="12289" width="27.75" customWidth="1"/>
    <col min="12545" max="12545" width="27.75" customWidth="1"/>
    <col min="12801" max="12801" width="27.75" customWidth="1"/>
    <col min="13057" max="13057" width="27.75" customWidth="1"/>
    <col min="13313" max="13313" width="27.75" customWidth="1"/>
    <col min="13569" max="13569" width="27.75" customWidth="1"/>
    <col min="13825" max="13825" width="27.75" customWidth="1"/>
    <col min="14081" max="14081" width="27.75" customWidth="1"/>
    <col min="14337" max="14337" width="27.75" customWidth="1"/>
    <col min="14593" max="14593" width="27.75" customWidth="1"/>
    <col min="14849" max="14849" width="27.75" customWidth="1"/>
    <col min="15105" max="15105" width="27.75" customWidth="1"/>
    <col min="15361" max="15361" width="27.75" customWidth="1"/>
    <col min="15617" max="15617" width="27.75" customWidth="1"/>
    <col min="15873" max="15873" width="27.75" customWidth="1"/>
    <col min="16129" max="16129" width="27.75" customWidth="1"/>
  </cols>
  <sheetData>
    <row r="1" spans="1:20" ht="15">
      <c r="A1" s="335"/>
      <c r="B1" s="535" t="s">
        <v>12</v>
      </c>
      <c r="C1" s="536"/>
      <c r="D1" s="536"/>
      <c r="E1" s="536"/>
      <c r="F1" s="536"/>
      <c r="G1" s="536"/>
      <c r="H1" s="536"/>
      <c r="I1" s="536"/>
      <c r="J1" s="537"/>
      <c r="K1" s="535" t="s">
        <v>193</v>
      </c>
      <c r="L1" s="536"/>
      <c r="M1" s="536"/>
      <c r="N1" s="536"/>
      <c r="O1" s="536"/>
      <c r="P1" s="536"/>
      <c r="Q1" s="536"/>
      <c r="R1" s="536"/>
      <c r="S1" s="537"/>
      <c r="T1" s="336" t="s">
        <v>102</v>
      </c>
    </row>
    <row r="2" spans="1:20">
      <c r="A2" s="93"/>
      <c r="B2" s="535" t="s">
        <v>10</v>
      </c>
      <c r="C2" s="537"/>
      <c r="D2" s="535" t="s">
        <v>13</v>
      </c>
      <c r="E2" s="537"/>
      <c r="F2" s="535" t="s">
        <v>14</v>
      </c>
      <c r="G2" s="537"/>
      <c r="H2" s="337" t="s">
        <v>15</v>
      </c>
      <c r="I2" s="337" t="s">
        <v>16</v>
      </c>
      <c r="J2" s="538" t="s">
        <v>4</v>
      </c>
      <c r="K2" s="535" t="s">
        <v>10</v>
      </c>
      <c r="L2" s="537"/>
      <c r="M2" s="535" t="s">
        <v>13</v>
      </c>
      <c r="N2" s="537"/>
      <c r="O2" s="535" t="s">
        <v>14</v>
      </c>
      <c r="P2" s="537"/>
      <c r="Q2" s="337" t="s">
        <v>15</v>
      </c>
      <c r="R2" s="337" t="s">
        <v>16</v>
      </c>
      <c r="S2" s="538" t="s">
        <v>4</v>
      </c>
      <c r="T2" s="338" t="s">
        <v>99</v>
      </c>
    </row>
    <row r="3" spans="1:20" ht="19.5">
      <c r="A3" s="339" t="s">
        <v>18</v>
      </c>
      <c r="B3" s="337" t="s">
        <v>103</v>
      </c>
      <c r="C3" s="337" t="s">
        <v>104</v>
      </c>
      <c r="D3" s="337" t="s">
        <v>105</v>
      </c>
      <c r="E3" s="337" t="s">
        <v>106</v>
      </c>
      <c r="F3" s="337" t="s">
        <v>107</v>
      </c>
      <c r="G3" s="337" t="s">
        <v>108</v>
      </c>
      <c r="H3" s="337" t="s">
        <v>109</v>
      </c>
      <c r="I3" s="337" t="s">
        <v>110</v>
      </c>
      <c r="J3" s="539"/>
      <c r="K3" s="337" t="s">
        <v>103</v>
      </c>
      <c r="L3" s="337" t="s">
        <v>104</v>
      </c>
      <c r="M3" s="337" t="s">
        <v>105</v>
      </c>
      <c r="N3" s="337" t="s">
        <v>106</v>
      </c>
      <c r="O3" s="337" t="s">
        <v>107</v>
      </c>
      <c r="P3" s="337" t="s">
        <v>108</v>
      </c>
      <c r="Q3" s="337" t="s">
        <v>109</v>
      </c>
      <c r="R3" s="337" t="s">
        <v>110</v>
      </c>
      <c r="S3" s="539"/>
      <c r="T3" s="340"/>
    </row>
    <row r="4" spans="1:20">
      <c r="A4" s="341" t="s">
        <v>111</v>
      </c>
      <c r="B4" s="288" t="s">
        <v>411</v>
      </c>
      <c r="C4" s="288" t="s">
        <v>411</v>
      </c>
      <c r="D4" s="289">
        <v>696900</v>
      </c>
      <c r="E4" s="289">
        <v>25500</v>
      </c>
      <c r="F4" s="288" t="s">
        <v>411</v>
      </c>
      <c r="G4" s="288" t="s">
        <v>411</v>
      </c>
      <c r="H4" s="288" t="s">
        <v>411</v>
      </c>
      <c r="I4" s="289">
        <v>8188.33</v>
      </c>
      <c r="J4" s="289">
        <v>730588.33</v>
      </c>
      <c r="K4" s="288" t="s">
        <v>411</v>
      </c>
      <c r="L4" s="288" t="s">
        <v>411</v>
      </c>
      <c r="M4" s="289">
        <v>693462.4</v>
      </c>
      <c r="N4" s="289">
        <v>25006.400000000001</v>
      </c>
      <c r="O4" s="288" t="s">
        <v>411</v>
      </c>
      <c r="P4" s="288" t="s">
        <v>411</v>
      </c>
      <c r="Q4" s="288" t="s">
        <v>411</v>
      </c>
      <c r="R4" s="289">
        <v>8188.33</v>
      </c>
      <c r="S4" s="289">
        <v>726657.13</v>
      </c>
      <c r="T4" s="290">
        <v>0.99460000000000004</v>
      </c>
    </row>
    <row r="5" spans="1:20">
      <c r="A5" s="341" t="s">
        <v>112</v>
      </c>
      <c r="B5" s="292" t="s">
        <v>411</v>
      </c>
      <c r="C5" s="292" t="s">
        <v>411</v>
      </c>
      <c r="D5" s="293">
        <v>57632</v>
      </c>
      <c r="E5" s="292" t="s">
        <v>411</v>
      </c>
      <c r="F5" s="292" t="s">
        <v>411</v>
      </c>
      <c r="G5" s="292" t="s">
        <v>411</v>
      </c>
      <c r="H5" s="292" t="s">
        <v>411</v>
      </c>
      <c r="I5" s="292" t="s">
        <v>411</v>
      </c>
      <c r="J5" s="293">
        <v>57632</v>
      </c>
      <c r="K5" s="292" t="s">
        <v>411</v>
      </c>
      <c r="L5" s="292" t="s">
        <v>411</v>
      </c>
      <c r="M5" s="293">
        <v>50106</v>
      </c>
      <c r="N5" s="292" t="s">
        <v>411</v>
      </c>
      <c r="O5" s="292" t="s">
        <v>411</v>
      </c>
      <c r="P5" s="292" t="s">
        <v>411</v>
      </c>
      <c r="Q5" s="292" t="s">
        <v>411</v>
      </c>
      <c r="R5" s="292" t="s">
        <v>411</v>
      </c>
      <c r="S5" s="293">
        <v>50106</v>
      </c>
      <c r="T5" s="294">
        <v>0.86939999999999995</v>
      </c>
    </row>
    <row r="6" spans="1:20">
      <c r="A6" s="341" t="s">
        <v>113</v>
      </c>
      <c r="B6" s="288" t="s">
        <v>411</v>
      </c>
      <c r="C6" s="288" t="s">
        <v>411</v>
      </c>
      <c r="D6" s="289">
        <v>45170</v>
      </c>
      <c r="E6" s="288" t="s">
        <v>411</v>
      </c>
      <c r="F6" s="288" t="s">
        <v>411</v>
      </c>
      <c r="G6" s="288" t="s">
        <v>411</v>
      </c>
      <c r="H6" s="288" t="s">
        <v>411</v>
      </c>
      <c r="I6" s="288" t="s">
        <v>411</v>
      </c>
      <c r="J6" s="289">
        <v>45170</v>
      </c>
      <c r="K6" s="288" t="s">
        <v>411</v>
      </c>
      <c r="L6" s="288" t="s">
        <v>411</v>
      </c>
      <c r="M6" s="289">
        <v>33093</v>
      </c>
      <c r="N6" s="288" t="s">
        <v>411</v>
      </c>
      <c r="O6" s="288" t="s">
        <v>411</v>
      </c>
      <c r="P6" s="288" t="s">
        <v>411</v>
      </c>
      <c r="Q6" s="288" t="s">
        <v>411</v>
      </c>
      <c r="R6" s="288" t="s">
        <v>411</v>
      </c>
      <c r="S6" s="289">
        <v>33093</v>
      </c>
      <c r="T6" s="290">
        <v>0.73260000000000003</v>
      </c>
    </row>
    <row r="7" spans="1:20">
      <c r="A7" s="341" t="s">
        <v>114</v>
      </c>
      <c r="B7" s="292" t="s">
        <v>411</v>
      </c>
      <c r="C7" s="292" t="s">
        <v>411</v>
      </c>
      <c r="D7" s="293">
        <v>22717</v>
      </c>
      <c r="E7" s="292" t="s">
        <v>411</v>
      </c>
      <c r="F7" s="292" t="s">
        <v>411</v>
      </c>
      <c r="G7" s="292" t="s">
        <v>411</v>
      </c>
      <c r="H7" s="292" t="s">
        <v>411</v>
      </c>
      <c r="I7" s="292" t="s">
        <v>411</v>
      </c>
      <c r="J7" s="293">
        <v>22717</v>
      </c>
      <c r="K7" s="292" t="s">
        <v>411</v>
      </c>
      <c r="L7" s="292" t="s">
        <v>411</v>
      </c>
      <c r="M7" s="293">
        <v>22717</v>
      </c>
      <c r="N7" s="292" t="s">
        <v>411</v>
      </c>
      <c r="O7" s="292" t="s">
        <v>411</v>
      </c>
      <c r="P7" s="292" t="s">
        <v>411</v>
      </c>
      <c r="Q7" s="292" t="s">
        <v>411</v>
      </c>
      <c r="R7" s="292" t="s">
        <v>411</v>
      </c>
      <c r="S7" s="293">
        <v>22717</v>
      </c>
      <c r="T7" s="294">
        <v>1</v>
      </c>
    </row>
    <row r="8" spans="1:20">
      <c r="A8" s="341" t="s">
        <v>115</v>
      </c>
      <c r="B8" s="288" t="s">
        <v>411</v>
      </c>
      <c r="C8" s="288" t="s">
        <v>411</v>
      </c>
      <c r="D8" s="289">
        <v>45707</v>
      </c>
      <c r="E8" s="288" t="s">
        <v>411</v>
      </c>
      <c r="F8" s="288" t="s">
        <v>411</v>
      </c>
      <c r="G8" s="288" t="s">
        <v>411</v>
      </c>
      <c r="H8" s="288" t="s">
        <v>411</v>
      </c>
      <c r="I8" s="288" t="s">
        <v>411</v>
      </c>
      <c r="J8" s="289">
        <v>45707</v>
      </c>
      <c r="K8" s="288" t="s">
        <v>411</v>
      </c>
      <c r="L8" s="288" t="s">
        <v>411</v>
      </c>
      <c r="M8" s="289">
        <v>37338</v>
      </c>
      <c r="N8" s="288" t="s">
        <v>411</v>
      </c>
      <c r="O8" s="288" t="s">
        <v>411</v>
      </c>
      <c r="P8" s="288" t="s">
        <v>411</v>
      </c>
      <c r="Q8" s="288" t="s">
        <v>411</v>
      </c>
      <c r="R8" s="288" t="s">
        <v>411</v>
      </c>
      <c r="S8" s="289">
        <v>37338</v>
      </c>
      <c r="T8" s="290">
        <v>0.81689999999999996</v>
      </c>
    </row>
    <row r="9" spans="1:20">
      <c r="A9" s="341" t="s">
        <v>116</v>
      </c>
      <c r="B9" s="292" t="s">
        <v>411</v>
      </c>
      <c r="C9" s="292" t="s">
        <v>411</v>
      </c>
      <c r="D9" s="293">
        <v>22074</v>
      </c>
      <c r="E9" s="292" t="s">
        <v>411</v>
      </c>
      <c r="F9" s="292" t="s">
        <v>411</v>
      </c>
      <c r="G9" s="292" t="s">
        <v>411</v>
      </c>
      <c r="H9" s="292" t="s">
        <v>411</v>
      </c>
      <c r="I9" s="292" t="s">
        <v>411</v>
      </c>
      <c r="J9" s="293">
        <v>22074</v>
      </c>
      <c r="K9" s="292" t="s">
        <v>411</v>
      </c>
      <c r="L9" s="292" t="s">
        <v>411</v>
      </c>
      <c r="M9" s="293">
        <v>22074</v>
      </c>
      <c r="N9" s="292" t="s">
        <v>411</v>
      </c>
      <c r="O9" s="292" t="s">
        <v>411</v>
      </c>
      <c r="P9" s="292" t="s">
        <v>411</v>
      </c>
      <c r="Q9" s="292" t="s">
        <v>411</v>
      </c>
      <c r="R9" s="292" t="s">
        <v>411</v>
      </c>
      <c r="S9" s="293">
        <v>22074</v>
      </c>
      <c r="T9" s="294">
        <v>1</v>
      </c>
    </row>
    <row r="10" spans="1:20">
      <c r="A10" s="341" t="s">
        <v>264</v>
      </c>
      <c r="B10" s="288" t="s">
        <v>411</v>
      </c>
      <c r="C10" s="288" t="s">
        <v>411</v>
      </c>
      <c r="D10" s="289">
        <v>93300</v>
      </c>
      <c r="E10" s="288" t="s">
        <v>411</v>
      </c>
      <c r="F10" s="288" t="s">
        <v>411</v>
      </c>
      <c r="G10" s="288" t="s">
        <v>411</v>
      </c>
      <c r="H10" s="289">
        <v>60000</v>
      </c>
      <c r="I10" s="288" t="s">
        <v>411</v>
      </c>
      <c r="J10" s="289">
        <v>153300</v>
      </c>
      <c r="K10" s="288" t="s">
        <v>411</v>
      </c>
      <c r="L10" s="288" t="s">
        <v>411</v>
      </c>
      <c r="M10" s="289">
        <v>42600</v>
      </c>
      <c r="N10" s="288" t="s">
        <v>411</v>
      </c>
      <c r="O10" s="288" t="s">
        <v>411</v>
      </c>
      <c r="P10" s="288" t="s">
        <v>411</v>
      </c>
      <c r="Q10" s="289">
        <v>55712</v>
      </c>
      <c r="R10" s="288" t="s">
        <v>411</v>
      </c>
      <c r="S10" s="289">
        <v>98312</v>
      </c>
      <c r="T10" s="290">
        <v>0.64129999999999998</v>
      </c>
    </row>
    <row r="11" spans="1:20" s="92" customFormat="1">
      <c r="A11" s="298" t="s">
        <v>438</v>
      </c>
      <c r="B11" s="299">
        <f>SUM(B4:B10)</f>
        <v>0</v>
      </c>
      <c r="C11" s="299">
        <f t="shared" ref="C11:S11" si="0">SUM(C4:C10)</f>
        <v>0</v>
      </c>
      <c r="D11" s="299">
        <f t="shared" si="0"/>
        <v>983500</v>
      </c>
      <c r="E11" s="299">
        <f t="shared" si="0"/>
        <v>25500</v>
      </c>
      <c r="F11" s="299">
        <f t="shared" si="0"/>
        <v>0</v>
      </c>
      <c r="G11" s="299">
        <f t="shared" si="0"/>
        <v>0</v>
      </c>
      <c r="H11" s="299">
        <f t="shared" si="0"/>
        <v>60000</v>
      </c>
      <c r="I11" s="299">
        <f t="shared" si="0"/>
        <v>8188.33</v>
      </c>
      <c r="J11" s="299">
        <f t="shared" si="0"/>
        <v>1077188.33</v>
      </c>
      <c r="K11" s="299">
        <f t="shared" si="0"/>
        <v>0</v>
      </c>
      <c r="L11" s="299">
        <f t="shared" si="0"/>
        <v>0</v>
      </c>
      <c r="M11" s="299">
        <f t="shared" si="0"/>
        <v>901390.4</v>
      </c>
      <c r="N11" s="299">
        <f t="shared" si="0"/>
        <v>25006.400000000001</v>
      </c>
      <c r="O11" s="299">
        <f t="shared" si="0"/>
        <v>0</v>
      </c>
      <c r="P11" s="299">
        <f t="shared" si="0"/>
        <v>0</v>
      </c>
      <c r="Q11" s="299">
        <f t="shared" si="0"/>
        <v>55712</v>
      </c>
      <c r="R11" s="299">
        <f t="shared" si="0"/>
        <v>8188.33</v>
      </c>
      <c r="S11" s="299">
        <f t="shared" si="0"/>
        <v>990297.13</v>
      </c>
      <c r="T11" s="300"/>
    </row>
    <row r="12" spans="1:20">
      <c r="A12" s="341" t="s">
        <v>117</v>
      </c>
      <c r="B12" s="292" t="s">
        <v>411</v>
      </c>
      <c r="C12" s="292" t="s">
        <v>411</v>
      </c>
      <c r="D12" s="293">
        <v>580010</v>
      </c>
      <c r="E12" s="293">
        <v>15000</v>
      </c>
      <c r="F12" s="293">
        <v>64600</v>
      </c>
      <c r="G12" s="292" t="s">
        <v>411</v>
      </c>
      <c r="H12" s="293">
        <v>60000</v>
      </c>
      <c r="I12" s="293">
        <v>53600</v>
      </c>
      <c r="J12" s="293">
        <v>773210</v>
      </c>
      <c r="K12" s="292" t="s">
        <v>411</v>
      </c>
      <c r="L12" s="292" t="s">
        <v>411</v>
      </c>
      <c r="M12" s="293">
        <v>530464</v>
      </c>
      <c r="N12" s="293">
        <v>15000</v>
      </c>
      <c r="O12" s="293">
        <v>64600</v>
      </c>
      <c r="P12" s="292" t="s">
        <v>411</v>
      </c>
      <c r="Q12" s="293">
        <v>60000</v>
      </c>
      <c r="R12" s="293">
        <v>53600</v>
      </c>
      <c r="S12" s="293">
        <v>723664</v>
      </c>
      <c r="T12" s="294">
        <v>0.93589999999999995</v>
      </c>
    </row>
    <row r="13" spans="1:20">
      <c r="A13" s="341" t="s">
        <v>118</v>
      </c>
      <c r="B13" s="288" t="s">
        <v>411</v>
      </c>
      <c r="C13" s="288" t="s">
        <v>411</v>
      </c>
      <c r="D13" s="289">
        <v>31450</v>
      </c>
      <c r="E13" s="288" t="s">
        <v>411</v>
      </c>
      <c r="F13" s="288" t="s">
        <v>411</v>
      </c>
      <c r="G13" s="288" t="s">
        <v>411</v>
      </c>
      <c r="H13" s="289">
        <v>3000</v>
      </c>
      <c r="I13" s="288" t="s">
        <v>411</v>
      </c>
      <c r="J13" s="289">
        <v>34450</v>
      </c>
      <c r="K13" s="288" t="s">
        <v>411</v>
      </c>
      <c r="L13" s="288" t="s">
        <v>411</v>
      </c>
      <c r="M13" s="289">
        <v>29368</v>
      </c>
      <c r="N13" s="288" t="s">
        <v>411</v>
      </c>
      <c r="O13" s="288" t="s">
        <v>411</v>
      </c>
      <c r="P13" s="288" t="s">
        <v>411</v>
      </c>
      <c r="Q13" s="289">
        <v>3000</v>
      </c>
      <c r="R13" s="288" t="s">
        <v>411</v>
      </c>
      <c r="S13" s="289">
        <v>32368</v>
      </c>
      <c r="T13" s="290">
        <v>0.93959999999999999</v>
      </c>
    </row>
    <row r="14" spans="1:20">
      <c r="A14" s="341" t="s">
        <v>119</v>
      </c>
      <c r="B14" s="292" t="s">
        <v>411</v>
      </c>
      <c r="C14" s="292" t="s">
        <v>411</v>
      </c>
      <c r="D14" s="293">
        <v>38500</v>
      </c>
      <c r="E14" s="292" t="s">
        <v>411</v>
      </c>
      <c r="F14" s="292" t="s">
        <v>411</v>
      </c>
      <c r="G14" s="292" t="s">
        <v>411</v>
      </c>
      <c r="H14" s="293">
        <v>3000</v>
      </c>
      <c r="I14" s="292" t="s">
        <v>411</v>
      </c>
      <c r="J14" s="293">
        <v>41500</v>
      </c>
      <c r="K14" s="292" t="s">
        <v>411</v>
      </c>
      <c r="L14" s="292" t="s">
        <v>411</v>
      </c>
      <c r="M14" s="293">
        <v>34543</v>
      </c>
      <c r="N14" s="292" t="s">
        <v>411</v>
      </c>
      <c r="O14" s="292" t="s">
        <v>411</v>
      </c>
      <c r="P14" s="292" t="s">
        <v>411</v>
      </c>
      <c r="Q14" s="293">
        <v>3000</v>
      </c>
      <c r="R14" s="292" t="s">
        <v>411</v>
      </c>
      <c r="S14" s="293">
        <v>37543</v>
      </c>
      <c r="T14" s="294">
        <v>0.90469999999999995</v>
      </c>
    </row>
    <row r="15" spans="1:20">
      <c r="A15" s="341" t="s">
        <v>120</v>
      </c>
      <c r="B15" s="288" t="s">
        <v>411</v>
      </c>
      <c r="C15" s="288" t="s">
        <v>411</v>
      </c>
      <c r="D15" s="289">
        <v>24070</v>
      </c>
      <c r="E15" s="288" t="s">
        <v>411</v>
      </c>
      <c r="F15" s="288" t="s">
        <v>411</v>
      </c>
      <c r="G15" s="288" t="s">
        <v>411</v>
      </c>
      <c r="H15" s="289">
        <v>3000</v>
      </c>
      <c r="I15" s="288" t="s">
        <v>411</v>
      </c>
      <c r="J15" s="289">
        <v>27070</v>
      </c>
      <c r="K15" s="288" t="s">
        <v>411</v>
      </c>
      <c r="L15" s="288" t="s">
        <v>411</v>
      </c>
      <c r="M15" s="289">
        <v>20820</v>
      </c>
      <c r="N15" s="288" t="s">
        <v>411</v>
      </c>
      <c r="O15" s="288" t="s">
        <v>411</v>
      </c>
      <c r="P15" s="288" t="s">
        <v>411</v>
      </c>
      <c r="Q15" s="289">
        <v>3000</v>
      </c>
      <c r="R15" s="288" t="s">
        <v>411</v>
      </c>
      <c r="S15" s="289">
        <v>23820</v>
      </c>
      <c r="T15" s="290">
        <v>0.87990000000000002</v>
      </c>
    </row>
    <row r="16" spans="1:20">
      <c r="A16" s="341" t="s">
        <v>121</v>
      </c>
      <c r="B16" s="292" t="s">
        <v>411</v>
      </c>
      <c r="C16" s="292" t="s">
        <v>411</v>
      </c>
      <c r="D16" s="293">
        <v>52850</v>
      </c>
      <c r="E16" s="292" t="s">
        <v>411</v>
      </c>
      <c r="F16" s="292" t="s">
        <v>411</v>
      </c>
      <c r="G16" s="292" t="s">
        <v>411</v>
      </c>
      <c r="H16" s="293">
        <v>3000</v>
      </c>
      <c r="I16" s="292" t="s">
        <v>411</v>
      </c>
      <c r="J16" s="293">
        <v>55850</v>
      </c>
      <c r="K16" s="292" t="s">
        <v>411</v>
      </c>
      <c r="L16" s="292" t="s">
        <v>411</v>
      </c>
      <c r="M16" s="293">
        <v>47600</v>
      </c>
      <c r="N16" s="292" t="s">
        <v>411</v>
      </c>
      <c r="O16" s="292" t="s">
        <v>411</v>
      </c>
      <c r="P16" s="292" t="s">
        <v>411</v>
      </c>
      <c r="Q16" s="293">
        <v>3000</v>
      </c>
      <c r="R16" s="292" t="s">
        <v>411</v>
      </c>
      <c r="S16" s="293">
        <v>50600</v>
      </c>
      <c r="T16" s="294">
        <v>0.90600000000000003</v>
      </c>
    </row>
    <row r="17" spans="1:20">
      <c r="A17" s="341" t="s">
        <v>122</v>
      </c>
      <c r="B17" s="288" t="s">
        <v>411</v>
      </c>
      <c r="C17" s="288" t="s">
        <v>411</v>
      </c>
      <c r="D17" s="289">
        <v>8000</v>
      </c>
      <c r="E17" s="288" t="s">
        <v>411</v>
      </c>
      <c r="F17" s="288" t="s">
        <v>411</v>
      </c>
      <c r="G17" s="288" t="s">
        <v>411</v>
      </c>
      <c r="H17" s="288" t="s">
        <v>411</v>
      </c>
      <c r="I17" s="288" t="s">
        <v>411</v>
      </c>
      <c r="J17" s="289">
        <v>8000</v>
      </c>
      <c r="K17" s="288" t="s">
        <v>411</v>
      </c>
      <c r="L17" s="288" t="s">
        <v>411</v>
      </c>
      <c r="M17" s="289">
        <v>8000</v>
      </c>
      <c r="N17" s="288" t="s">
        <v>411</v>
      </c>
      <c r="O17" s="288" t="s">
        <v>411</v>
      </c>
      <c r="P17" s="288" t="s">
        <v>411</v>
      </c>
      <c r="Q17" s="288" t="s">
        <v>411</v>
      </c>
      <c r="R17" s="288" t="s">
        <v>411</v>
      </c>
      <c r="S17" s="289">
        <v>8000</v>
      </c>
      <c r="T17" s="290">
        <v>1</v>
      </c>
    </row>
    <row r="18" spans="1:20">
      <c r="A18" s="341" t="s">
        <v>123</v>
      </c>
      <c r="B18" s="292" t="s">
        <v>411</v>
      </c>
      <c r="C18" s="292" t="s">
        <v>411</v>
      </c>
      <c r="D18" s="293">
        <v>15000</v>
      </c>
      <c r="E18" s="292" t="s">
        <v>411</v>
      </c>
      <c r="F18" s="292" t="s">
        <v>411</v>
      </c>
      <c r="G18" s="292" t="s">
        <v>411</v>
      </c>
      <c r="H18" s="293">
        <v>3000</v>
      </c>
      <c r="I18" s="292" t="s">
        <v>411</v>
      </c>
      <c r="J18" s="293">
        <v>18000</v>
      </c>
      <c r="K18" s="292" t="s">
        <v>411</v>
      </c>
      <c r="L18" s="292" t="s">
        <v>411</v>
      </c>
      <c r="M18" s="293">
        <v>15000</v>
      </c>
      <c r="N18" s="292" t="s">
        <v>411</v>
      </c>
      <c r="O18" s="292" t="s">
        <v>411</v>
      </c>
      <c r="P18" s="292" t="s">
        <v>411</v>
      </c>
      <c r="Q18" s="292" t="s">
        <v>411</v>
      </c>
      <c r="R18" s="292" t="s">
        <v>411</v>
      </c>
      <c r="S18" s="293">
        <v>15000</v>
      </c>
      <c r="T18" s="294">
        <v>0.83330000000000004</v>
      </c>
    </row>
    <row r="19" spans="1:20">
      <c r="A19" s="341" t="s">
        <v>125</v>
      </c>
      <c r="B19" s="288" t="s">
        <v>411</v>
      </c>
      <c r="C19" s="288" t="s">
        <v>411</v>
      </c>
      <c r="D19" s="289">
        <v>38250</v>
      </c>
      <c r="E19" s="288" t="s">
        <v>411</v>
      </c>
      <c r="F19" s="288" t="s">
        <v>411</v>
      </c>
      <c r="G19" s="288" t="s">
        <v>411</v>
      </c>
      <c r="H19" s="289">
        <v>3000</v>
      </c>
      <c r="I19" s="288" t="s">
        <v>411</v>
      </c>
      <c r="J19" s="289">
        <v>41250</v>
      </c>
      <c r="K19" s="288" t="s">
        <v>411</v>
      </c>
      <c r="L19" s="288" t="s">
        <v>411</v>
      </c>
      <c r="M19" s="289">
        <v>38245</v>
      </c>
      <c r="N19" s="288" t="s">
        <v>411</v>
      </c>
      <c r="O19" s="288" t="s">
        <v>411</v>
      </c>
      <c r="P19" s="288" t="s">
        <v>411</v>
      </c>
      <c r="Q19" s="289">
        <v>3000</v>
      </c>
      <c r="R19" s="288" t="s">
        <v>411</v>
      </c>
      <c r="S19" s="289">
        <v>41245</v>
      </c>
      <c r="T19" s="290">
        <v>0.99990000000000001</v>
      </c>
    </row>
    <row r="20" spans="1:20">
      <c r="A20" s="341" t="s">
        <v>126</v>
      </c>
      <c r="B20" s="288" t="s">
        <v>411</v>
      </c>
      <c r="C20" s="288" t="s">
        <v>411</v>
      </c>
      <c r="D20" s="289">
        <v>37000</v>
      </c>
      <c r="E20" s="288" t="s">
        <v>411</v>
      </c>
      <c r="F20" s="288" t="s">
        <v>411</v>
      </c>
      <c r="G20" s="288" t="s">
        <v>411</v>
      </c>
      <c r="H20" s="289">
        <v>3000</v>
      </c>
      <c r="I20" s="288" t="s">
        <v>411</v>
      </c>
      <c r="J20" s="289">
        <v>40000</v>
      </c>
      <c r="K20" s="288" t="s">
        <v>411</v>
      </c>
      <c r="L20" s="288" t="s">
        <v>411</v>
      </c>
      <c r="M20" s="289">
        <v>36745.1</v>
      </c>
      <c r="N20" s="288" t="s">
        <v>411</v>
      </c>
      <c r="O20" s="288" t="s">
        <v>411</v>
      </c>
      <c r="P20" s="288" t="s">
        <v>411</v>
      </c>
      <c r="Q20" s="289">
        <v>3000</v>
      </c>
      <c r="R20" s="288" t="s">
        <v>411</v>
      </c>
      <c r="S20" s="289">
        <v>39745.1</v>
      </c>
      <c r="T20" s="290">
        <v>0.99360000000000004</v>
      </c>
    </row>
    <row r="21" spans="1:20">
      <c r="A21" s="341" t="s">
        <v>127</v>
      </c>
      <c r="B21" s="292" t="s">
        <v>411</v>
      </c>
      <c r="C21" s="292" t="s">
        <v>411</v>
      </c>
      <c r="D21" s="293">
        <v>36870</v>
      </c>
      <c r="E21" s="292" t="s">
        <v>411</v>
      </c>
      <c r="F21" s="292" t="s">
        <v>411</v>
      </c>
      <c r="G21" s="292" t="s">
        <v>411</v>
      </c>
      <c r="H21" s="293">
        <v>3000</v>
      </c>
      <c r="I21" s="292" t="s">
        <v>411</v>
      </c>
      <c r="J21" s="293">
        <v>39870</v>
      </c>
      <c r="K21" s="292" t="s">
        <v>411</v>
      </c>
      <c r="L21" s="292" t="s">
        <v>411</v>
      </c>
      <c r="M21" s="293">
        <v>35914</v>
      </c>
      <c r="N21" s="292" t="s">
        <v>411</v>
      </c>
      <c r="O21" s="292" t="s">
        <v>411</v>
      </c>
      <c r="P21" s="292" t="s">
        <v>411</v>
      </c>
      <c r="Q21" s="292" t="s">
        <v>411</v>
      </c>
      <c r="R21" s="292" t="s">
        <v>411</v>
      </c>
      <c r="S21" s="293">
        <v>35914</v>
      </c>
      <c r="T21" s="294">
        <v>0.90080000000000005</v>
      </c>
    </row>
    <row r="22" spans="1:20">
      <c r="A22" s="341" t="s">
        <v>128</v>
      </c>
      <c r="B22" s="288" t="s">
        <v>411</v>
      </c>
      <c r="C22" s="288" t="s">
        <v>411</v>
      </c>
      <c r="D22" s="289">
        <v>37250</v>
      </c>
      <c r="E22" s="288" t="s">
        <v>411</v>
      </c>
      <c r="F22" s="289">
        <v>28000</v>
      </c>
      <c r="G22" s="288" t="s">
        <v>411</v>
      </c>
      <c r="H22" s="289">
        <v>3000</v>
      </c>
      <c r="I22" s="288" t="s">
        <v>411</v>
      </c>
      <c r="J22" s="289">
        <v>68250</v>
      </c>
      <c r="K22" s="288" t="s">
        <v>411</v>
      </c>
      <c r="L22" s="288" t="s">
        <v>411</v>
      </c>
      <c r="M22" s="289">
        <v>28050</v>
      </c>
      <c r="N22" s="288" t="s">
        <v>411</v>
      </c>
      <c r="O22" s="289">
        <v>28000</v>
      </c>
      <c r="P22" s="288" t="s">
        <v>411</v>
      </c>
      <c r="Q22" s="289">
        <v>3000</v>
      </c>
      <c r="R22" s="288" t="s">
        <v>411</v>
      </c>
      <c r="S22" s="289">
        <v>59050</v>
      </c>
      <c r="T22" s="290">
        <v>0.86519999999999997</v>
      </c>
    </row>
    <row r="23" spans="1:20">
      <c r="A23" s="341" t="s">
        <v>129</v>
      </c>
      <c r="B23" s="374" t="s">
        <v>411</v>
      </c>
      <c r="C23" s="374" t="s">
        <v>411</v>
      </c>
      <c r="D23" s="375">
        <v>3250</v>
      </c>
      <c r="E23" s="374" t="s">
        <v>411</v>
      </c>
      <c r="F23" s="374" t="s">
        <v>411</v>
      </c>
      <c r="G23" s="374" t="s">
        <v>411</v>
      </c>
      <c r="H23" s="375">
        <v>3000</v>
      </c>
      <c r="I23" s="374" t="s">
        <v>411</v>
      </c>
      <c r="J23" s="375">
        <v>6250</v>
      </c>
      <c r="K23" s="374" t="s">
        <v>411</v>
      </c>
      <c r="L23" s="374" t="s">
        <v>411</v>
      </c>
      <c r="M23" s="375">
        <v>3250</v>
      </c>
      <c r="N23" s="374" t="s">
        <v>411</v>
      </c>
      <c r="O23" s="374" t="s">
        <v>411</v>
      </c>
      <c r="P23" s="374" t="s">
        <v>411</v>
      </c>
      <c r="Q23" s="374" t="s">
        <v>411</v>
      </c>
      <c r="R23" s="374" t="s">
        <v>411</v>
      </c>
      <c r="S23" s="375">
        <v>3250</v>
      </c>
      <c r="T23" s="376">
        <v>0.52</v>
      </c>
    </row>
    <row r="24" spans="1:20" s="362" customFormat="1">
      <c r="A24" s="346" t="s">
        <v>448</v>
      </c>
      <c r="B24" s="363">
        <f>SUM(B12:B23)</f>
        <v>0</v>
      </c>
      <c r="C24" s="363">
        <f t="shared" ref="C24:S24" si="1">SUM(C12:C23)</f>
        <v>0</v>
      </c>
      <c r="D24" s="363">
        <f t="shared" si="1"/>
        <v>902500</v>
      </c>
      <c r="E24" s="363">
        <f t="shared" si="1"/>
        <v>15000</v>
      </c>
      <c r="F24" s="363">
        <f t="shared" si="1"/>
        <v>92600</v>
      </c>
      <c r="G24" s="363">
        <f t="shared" si="1"/>
        <v>0</v>
      </c>
      <c r="H24" s="363">
        <f t="shared" si="1"/>
        <v>90000</v>
      </c>
      <c r="I24" s="363">
        <f t="shared" si="1"/>
        <v>53600</v>
      </c>
      <c r="J24" s="363">
        <f t="shared" si="1"/>
        <v>1153700</v>
      </c>
      <c r="K24" s="363">
        <f t="shared" si="1"/>
        <v>0</v>
      </c>
      <c r="L24" s="363">
        <f t="shared" si="1"/>
        <v>0</v>
      </c>
      <c r="M24" s="363">
        <f t="shared" si="1"/>
        <v>827999.1</v>
      </c>
      <c r="N24" s="363">
        <f t="shared" si="1"/>
        <v>15000</v>
      </c>
      <c r="O24" s="363">
        <f t="shared" si="1"/>
        <v>92600</v>
      </c>
      <c r="P24" s="363">
        <f t="shared" si="1"/>
        <v>0</v>
      </c>
      <c r="Q24" s="363">
        <f t="shared" si="1"/>
        <v>81000</v>
      </c>
      <c r="R24" s="363">
        <f t="shared" si="1"/>
        <v>53600</v>
      </c>
      <c r="S24" s="363">
        <f t="shared" si="1"/>
        <v>1070199.1000000001</v>
      </c>
      <c r="T24" s="365"/>
    </row>
    <row r="25" spans="1:20">
      <c r="A25" s="341" t="s">
        <v>130</v>
      </c>
      <c r="B25" s="377" t="s">
        <v>411</v>
      </c>
      <c r="C25" s="377" t="s">
        <v>411</v>
      </c>
      <c r="D25" s="378">
        <v>324320.2</v>
      </c>
      <c r="E25" s="378">
        <v>10000</v>
      </c>
      <c r="F25" s="378">
        <v>8050</v>
      </c>
      <c r="G25" s="377" t="s">
        <v>411</v>
      </c>
      <c r="H25" s="377" t="s">
        <v>411</v>
      </c>
      <c r="I25" s="377" t="s">
        <v>411</v>
      </c>
      <c r="J25" s="378">
        <v>342370.2</v>
      </c>
      <c r="K25" s="377" t="s">
        <v>411</v>
      </c>
      <c r="L25" s="377" t="s">
        <v>411</v>
      </c>
      <c r="M25" s="378">
        <v>266023</v>
      </c>
      <c r="N25" s="378">
        <v>8593.19</v>
      </c>
      <c r="O25" s="378">
        <v>8050</v>
      </c>
      <c r="P25" s="377" t="s">
        <v>411</v>
      </c>
      <c r="Q25" s="377" t="s">
        <v>411</v>
      </c>
      <c r="R25" s="377" t="s">
        <v>411</v>
      </c>
      <c r="S25" s="378">
        <v>282666.19</v>
      </c>
      <c r="T25" s="379">
        <v>0.8256</v>
      </c>
    </row>
    <row r="26" spans="1:20">
      <c r="A26" s="341" t="s">
        <v>131</v>
      </c>
      <c r="B26" s="292" t="s">
        <v>411</v>
      </c>
      <c r="C26" s="292" t="s">
        <v>411</v>
      </c>
      <c r="D26" s="293">
        <v>9040</v>
      </c>
      <c r="E26" s="292" t="s">
        <v>411</v>
      </c>
      <c r="F26" s="292" t="s">
        <v>411</v>
      </c>
      <c r="G26" s="292" t="s">
        <v>411</v>
      </c>
      <c r="H26" s="292" t="s">
        <v>411</v>
      </c>
      <c r="I26" s="292" t="s">
        <v>411</v>
      </c>
      <c r="J26" s="293">
        <v>9040</v>
      </c>
      <c r="K26" s="292" t="s">
        <v>411</v>
      </c>
      <c r="L26" s="292" t="s">
        <v>411</v>
      </c>
      <c r="M26" s="293">
        <v>9000</v>
      </c>
      <c r="N26" s="292" t="s">
        <v>411</v>
      </c>
      <c r="O26" s="292" t="s">
        <v>411</v>
      </c>
      <c r="P26" s="292" t="s">
        <v>411</v>
      </c>
      <c r="Q26" s="292" t="s">
        <v>411</v>
      </c>
      <c r="R26" s="292" t="s">
        <v>411</v>
      </c>
      <c r="S26" s="293">
        <v>9000</v>
      </c>
      <c r="T26" s="294">
        <v>0.99560000000000004</v>
      </c>
    </row>
    <row r="27" spans="1:20">
      <c r="A27" s="341" t="s">
        <v>132</v>
      </c>
      <c r="B27" s="288" t="s">
        <v>411</v>
      </c>
      <c r="C27" s="288" t="s">
        <v>411</v>
      </c>
      <c r="D27" s="288" t="s">
        <v>411</v>
      </c>
      <c r="E27" s="288" t="s">
        <v>411</v>
      </c>
      <c r="F27" s="289">
        <v>15800</v>
      </c>
      <c r="G27" s="288" t="s">
        <v>411</v>
      </c>
      <c r="H27" s="288" t="s">
        <v>411</v>
      </c>
      <c r="I27" s="288" t="s">
        <v>411</v>
      </c>
      <c r="J27" s="289">
        <v>15800</v>
      </c>
      <c r="K27" s="288" t="s">
        <v>411</v>
      </c>
      <c r="L27" s="288" t="s">
        <v>411</v>
      </c>
      <c r="M27" s="288" t="s">
        <v>411</v>
      </c>
      <c r="N27" s="288" t="s">
        <v>411</v>
      </c>
      <c r="O27" s="289">
        <v>15800</v>
      </c>
      <c r="P27" s="288" t="s">
        <v>411</v>
      </c>
      <c r="Q27" s="288" t="s">
        <v>411</v>
      </c>
      <c r="R27" s="288" t="s">
        <v>411</v>
      </c>
      <c r="S27" s="289">
        <v>15800</v>
      </c>
      <c r="T27" s="290">
        <v>1</v>
      </c>
    </row>
    <row r="28" spans="1:20">
      <c r="A28" s="341" t="s">
        <v>133</v>
      </c>
      <c r="B28" s="292" t="s">
        <v>411</v>
      </c>
      <c r="C28" s="292" t="s">
        <v>411</v>
      </c>
      <c r="D28" s="293">
        <v>27640</v>
      </c>
      <c r="E28" s="292" t="s">
        <v>411</v>
      </c>
      <c r="F28" s="292" t="s">
        <v>411</v>
      </c>
      <c r="G28" s="292" t="s">
        <v>411</v>
      </c>
      <c r="H28" s="292" t="s">
        <v>411</v>
      </c>
      <c r="I28" s="292" t="s">
        <v>411</v>
      </c>
      <c r="J28" s="293">
        <v>27640</v>
      </c>
      <c r="K28" s="292" t="s">
        <v>411</v>
      </c>
      <c r="L28" s="292" t="s">
        <v>411</v>
      </c>
      <c r="M28" s="293">
        <v>26619</v>
      </c>
      <c r="N28" s="292" t="s">
        <v>411</v>
      </c>
      <c r="O28" s="292" t="s">
        <v>411</v>
      </c>
      <c r="P28" s="292" t="s">
        <v>411</v>
      </c>
      <c r="Q28" s="292" t="s">
        <v>411</v>
      </c>
      <c r="R28" s="292" t="s">
        <v>411</v>
      </c>
      <c r="S28" s="293">
        <v>26619</v>
      </c>
      <c r="T28" s="294">
        <v>0.96309999999999996</v>
      </c>
    </row>
    <row r="29" spans="1:20">
      <c r="A29" s="341" t="s">
        <v>134</v>
      </c>
      <c r="B29" s="288" t="s">
        <v>411</v>
      </c>
      <c r="C29" s="288" t="s">
        <v>411</v>
      </c>
      <c r="D29" s="289">
        <v>16700</v>
      </c>
      <c r="E29" s="288" t="s">
        <v>411</v>
      </c>
      <c r="F29" s="288" t="s">
        <v>411</v>
      </c>
      <c r="G29" s="288" t="s">
        <v>411</v>
      </c>
      <c r="H29" s="288" t="s">
        <v>411</v>
      </c>
      <c r="I29" s="288" t="s">
        <v>411</v>
      </c>
      <c r="J29" s="289">
        <v>16700</v>
      </c>
      <c r="K29" s="288" t="s">
        <v>411</v>
      </c>
      <c r="L29" s="288" t="s">
        <v>411</v>
      </c>
      <c r="M29" s="289">
        <v>16700</v>
      </c>
      <c r="N29" s="288" t="s">
        <v>411</v>
      </c>
      <c r="O29" s="288" t="s">
        <v>411</v>
      </c>
      <c r="P29" s="288" t="s">
        <v>411</v>
      </c>
      <c r="Q29" s="288" t="s">
        <v>411</v>
      </c>
      <c r="R29" s="288" t="s">
        <v>411</v>
      </c>
      <c r="S29" s="289">
        <v>16700</v>
      </c>
      <c r="T29" s="290">
        <v>1</v>
      </c>
    </row>
    <row r="30" spans="1:20">
      <c r="A30" s="341" t="s">
        <v>135</v>
      </c>
      <c r="B30" s="292" t="s">
        <v>411</v>
      </c>
      <c r="C30" s="292" t="s">
        <v>411</v>
      </c>
      <c r="D30" s="293">
        <v>9340</v>
      </c>
      <c r="E30" s="292" t="s">
        <v>411</v>
      </c>
      <c r="F30" s="292" t="s">
        <v>411</v>
      </c>
      <c r="G30" s="292" t="s">
        <v>411</v>
      </c>
      <c r="H30" s="292" t="s">
        <v>411</v>
      </c>
      <c r="I30" s="292" t="s">
        <v>411</v>
      </c>
      <c r="J30" s="293">
        <v>9340</v>
      </c>
      <c r="K30" s="292" t="s">
        <v>411</v>
      </c>
      <c r="L30" s="292" t="s">
        <v>411</v>
      </c>
      <c r="M30" s="293">
        <v>3500</v>
      </c>
      <c r="N30" s="292" t="s">
        <v>411</v>
      </c>
      <c r="O30" s="292" t="s">
        <v>411</v>
      </c>
      <c r="P30" s="292" t="s">
        <v>411</v>
      </c>
      <c r="Q30" s="292" t="s">
        <v>411</v>
      </c>
      <c r="R30" s="292" t="s">
        <v>411</v>
      </c>
      <c r="S30" s="293">
        <v>3500</v>
      </c>
      <c r="T30" s="294">
        <v>0.37469999999999998</v>
      </c>
    </row>
    <row r="31" spans="1:20">
      <c r="A31" s="341" t="s">
        <v>136</v>
      </c>
      <c r="B31" s="288" t="s">
        <v>411</v>
      </c>
      <c r="C31" s="288" t="s">
        <v>411</v>
      </c>
      <c r="D31" s="289">
        <v>14920</v>
      </c>
      <c r="E31" s="288" t="s">
        <v>411</v>
      </c>
      <c r="F31" s="288" t="s">
        <v>411</v>
      </c>
      <c r="G31" s="288" t="s">
        <v>411</v>
      </c>
      <c r="H31" s="288" t="s">
        <v>411</v>
      </c>
      <c r="I31" s="288" t="s">
        <v>411</v>
      </c>
      <c r="J31" s="289">
        <v>14920</v>
      </c>
      <c r="K31" s="288" t="s">
        <v>411</v>
      </c>
      <c r="L31" s="288" t="s">
        <v>411</v>
      </c>
      <c r="M31" s="289">
        <v>5330</v>
      </c>
      <c r="N31" s="288" t="s">
        <v>411</v>
      </c>
      <c r="O31" s="288" t="s">
        <v>411</v>
      </c>
      <c r="P31" s="288" t="s">
        <v>411</v>
      </c>
      <c r="Q31" s="288" t="s">
        <v>411</v>
      </c>
      <c r="R31" s="288" t="s">
        <v>411</v>
      </c>
      <c r="S31" s="289">
        <v>5330</v>
      </c>
      <c r="T31" s="290">
        <v>0.35720000000000002</v>
      </c>
    </row>
    <row r="32" spans="1:20">
      <c r="A32" s="341" t="s">
        <v>137</v>
      </c>
      <c r="B32" s="292" t="s">
        <v>411</v>
      </c>
      <c r="C32" s="292" t="s">
        <v>411</v>
      </c>
      <c r="D32" s="293">
        <v>46680</v>
      </c>
      <c r="E32" s="292" t="s">
        <v>411</v>
      </c>
      <c r="F32" s="292" t="s">
        <v>411</v>
      </c>
      <c r="G32" s="292" t="s">
        <v>411</v>
      </c>
      <c r="H32" s="292" t="s">
        <v>411</v>
      </c>
      <c r="I32" s="292" t="s">
        <v>411</v>
      </c>
      <c r="J32" s="293">
        <v>46680</v>
      </c>
      <c r="K32" s="292" t="s">
        <v>411</v>
      </c>
      <c r="L32" s="292" t="s">
        <v>411</v>
      </c>
      <c r="M32" s="293">
        <v>27344</v>
      </c>
      <c r="N32" s="292" t="s">
        <v>411</v>
      </c>
      <c r="O32" s="292" t="s">
        <v>411</v>
      </c>
      <c r="P32" s="292" t="s">
        <v>411</v>
      </c>
      <c r="Q32" s="292" t="s">
        <v>411</v>
      </c>
      <c r="R32" s="292" t="s">
        <v>411</v>
      </c>
      <c r="S32" s="293">
        <v>27344</v>
      </c>
      <c r="T32" s="294">
        <v>0.58579999999999999</v>
      </c>
    </row>
    <row r="33" spans="1:20">
      <c r="A33" s="341" t="s">
        <v>138</v>
      </c>
      <c r="B33" s="288" t="s">
        <v>411</v>
      </c>
      <c r="C33" s="288" t="s">
        <v>411</v>
      </c>
      <c r="D33" s="289">
        <v>448765</v>
      </c>
      <c r="E33" s="288" t="s">
        <v>411</v>
      </c>
      <c r="F33" s="288" t="s">
        <v>411</v>
      </c>
      <c r="G33" s="288" t="s">
        <v>411</v>
      </c>
      <c r="H33" s="288" t="s">
        <v>411</v>
      </c>
      <c r="I33" s="288" t="s">
        <v>411</v>
      </c>
      <c r="J33" s="289">
        <v>448765</v>
      </c>
      <c r="K33" s="288" t="s">
        <v>411</v>
      </c>
      <c r="L33" s="288" t="s">
        <v>411</v>
      </c>
      <c r="M33" s="289">
        <v>448748</v>
      </c>
      <c r="N33" s="288" t="s">
        <v>411</v>
      </c>
      <c r="O33" s="288" t="s">
        <v>411</v>
      </c>
      <c r="P33" s="288" t="s">
        <v>411</v>
      </c>
      <c r="Q33" s="288" t="s">
        <v>411</v>
      </c>
      <c r="R33" s="288" t="s">
        <v>411</v>
      </c>
      <c r="S33" s="289">
        <v>448748</v>
      </c>
      <c r="T33" s="290">
        <v>1</v>
      </c>
    </row>
    <row r="34" spans="1:20">
      <c r="A34" s="341" t="s">
        <v>139</v>
      </c>
      <c r="B34" s="292" t="s">
        <v>411</v>
      </c>
      <c r="C34" s="292" t="s">
        <v>411</v>
      </c>
      <c r="D34" s="293">
        <v>420200</v>
      </c>
      <c r="E34" s="292" t="s">
        <v>411</v>
      </c>
      <c r="F34" s="293">
        <v>40000</v>
      </c>
      <c r="G34" s="292" t="s">
        <v>411</v>
      </c>
      <c r="H34" s="292" t="s">
        <v>411</v>
      </c>
      <c r="I34" s="292" t="s">
        <v>411</v>
      </c>
      <c r="J34" s="293">
        <v>460200</v>
      </c>
      <c r="K34" s="292" t="s">
        <v>411</v>
      </c>
      <c r="L34" s="292" t="s">
        <v>411</v>
      </c>
      <c r="M34" s="293">
        <v>375949</v>
      </c>
      <c r="N34" s="292" t="s">
        <v>411</v>
      </c>
      <c r="O34" s="293">
        <v>32000</v>
      </c>
      <c r="P34" s="292" t="s">
        <v>411</v>
      </c>
      <c r="Q34" s="292" t="s">
        <v>411</v>
      </c>
      <c r="R34" s="292" t="s">
        <v>411</v>
      </c>
      <c r="S34" s="293">
        <v>407949</v>
      </c>
      <c r="T34" s="294">
        <v>0.88649999999999995</v>
      </c>
    </row>
    <row r="35" spans="1:20">
      <c r="A35" s="341" t="s">
        <v>140</v>
      </c>
      <c r="B35" s="288" t="s">
        <v>411</v>
      </c>
      <c r="C35" s="288" t="s">
        <v>411</v>
      </c>
      <c r="D35" s="289">
        <v>12100</v>
      </c>
      <c r="E35" s="288" t="s">
        <v>411</v>
      </c>
      <c r="F35" s="288" t="s">
        <v>411</v>
      </c>
      <c r="G35" s="288" t="s">
        <v>411</v>
      </c>
      <c r="H35" s="288" t="s">
        <v>411</v>
      </c>
      <c r="I35" s="289">
        <v>300000</v>
      </c>
      <c r="J35" s="289">
        <v>312100</v>
      </c>
      <c r="K35" s="288" t="s">
        <v>411</v>
      </c>
      <c r="L35" s="288" t="s">
        <v>411</v>
      </c>
      <c r="M35" s="289">
        <v>9768</v>
      </c>
      <c r="N35" s="288" t="s">
        <v>411</v>
      </c>
      <c r="O35" s="288" t="s">
        <v>411</v>
      </c>
      <c r="P35" s="288" t="s">
        <v>411</v>
      </c>
      <c r="Q35" s="288" t="s">
        <v>411</v>
      </c>
      <c r="R35" s="289">
        <v>294900</v>
      </c>
      <c r="S35" s="289">
        <v>304668</v>
      </c>
      <c r="T35" s="290">
        <v>0.97619999999999996</v>
      </c>
    </row>
    <row r="36" spans="1:20">
      <c r="A36" s="341" t="s">
        <v>141</v>
      </c>
      <c r="B36" s="288" t="s">
        <v>411</v>
      </c>
      <c r="C36" s="288" t="s">
        <v>411</v>
      </c>
      <c r="D36" s="289">
        <v>17800</v>
      </c>
      <c r="E36" s="288" t="s">
        <v>411</v>
      </c>
      <c r="F36" s="288" t="s">
        <v>411</v>
      </c>
      <c r="G36" s="288" t="s">
        <v>411</v>
      </c>
      <c r="H36" s="288" t="s">
        <v>411</v>
      </c>
      <c r="I36" s="288" t="s">
        <v>411</v>
      </c>
      <c r="J36" s="289">
        <v>17800</v>
      </c>
      <c r="K36" s="288" t="s">
        <v>411</v>
      </c>
      <c r="L36" s="288" t="s">
        <v>411</v>
      </c>
      <c r="M36" s="289">
        <v>17260</v>
      </c>
      <c r="N36" s="288" t="s">
        <v>411</v>
      </c>
      <c r="O36" s="288" t="s">
        <v>411</v>
      </c>
      <c r="P36" s="288" t="s">
        <v>411</v>
      </c>
      <c r="Q36" s="288" t="s">
        <v>411</v>
      </c>
      <c r="R36" s="288" t="s">
        <v>411</v>
      </c>
      <c r="S36" s="289">
        <v>17260</v>
      </c>
      <c r="T36" s="290">
        <v>0.96970000000000001</v>
      </c>
    </row>
    <row r="37" spans="1:20">
      <c r="A37" s="341" t="s">
        <v>142</v>
      </c>
      <c r="B37" s="374" t="s">
        <v>411</v>
      </c>
      <c r="C37" s="374" t="s">
        <v>411</v>
      </c>
      <c r="D37" s="375">
        <v>13980</v>
      </c>
      <c r="E37" s="374" t="s">
        <v>411</v>
      </c>
      <c r="F37" s="374" t="s">
        <v>411</v>
      </c>
      <c r="G37" s="374" t="s">
        <v>411</v>
      </c>
      <c r="H37" s="374" t="s">
        <v>411</v>
      </c>
      <c r="I37" s="374" t="s">
        <v>411</v>
      </c>
      <c r="J37" s="375">
        <v>13980</v>
      </c>
      <c r="K37" s="374" t="s">
        <v>411</v>
      </c>
      <c r="L37" s="374" t="s">
        <v>411</v>
      </c>
      <c r="M37" s="375">
        <v>13980</v>
      </c>
      <c r="N37" s="374" t="s">
        <v>411</v>
      </c>
      <c r="O37" s="374" t="s">
        <v>411</v>
      </c>
      <c r="P37" s="374" t="s">
        <v>411</v>
      </c>
      <c r="Q37" s="374" t="s">
        <v>411</v>
      </c>
      <c r="R37" s="374" t="s">
        <v>411</v>
      </c>
      <c r="S37" s="375">
        <v>13980</v>
      </c>
      <c r="T37" s="376">
        <v>1</v>
      </c>
    </row>
    <row r="38" spans="1:20" s="362" customFormat="1">
      <c r="A38" s="346" t="s">
        <v>410</v>
      </c>
      <c r="B38" s="363">
        <f>SUM(B25:B37)</f>
        <v>0</v>
      </c>
      <c r="C38" s="363">
        <f t="shared" ref="C38:S38" si="2">SUM(C25:C37)</f>
        <v>0</v>
      </c>
      <c r="D38" s="363">
        <f t="shared" si="2"/>
        <v>1361485.2</v>
      </c>
      <c r="E38" s="363">
        <f t="shared" si="2"/>
        <v>10000</v>
      </c>
      <c r="F38" s="363">
        <f t="shared" si="2"/>
        <v>63850</v>
      </c>
      <c r="G38" s="363">
        <f t="shared" si="2"/>
        <v>0</v>
      </c>
      <c r="H38" s="363">
        <f t="shared" si="2"/>
        <v>0</v>
      </c>
      <c r="I38" s="363">
        <f t="shared" si="2"/>
        <v>300000</v>
      </c>
      <c r="J38" s="363">
        <f t="shared" si="2"/>
        <v>1735335.2</v>
      </c>
      <c r="K38" s="363">
        <f t="shared" si="2"/>
        <v>0</v>
      </c>
      <c r="L38" s="363">
        <f t="shared" si="2"/>
        <v>0</v>
      </c>
      <c r="M38" s="363">
        <f t="shared" si="2"/>
        <v>1220221</v>
      </c>
      <c r="N38" s="363">
        <f t="shared" si="2"/>
        <v>8593.19</v>
      </c>
      <c r="O38" s="363">
        <f t="shared" si="2"/>
        <v>55850</v>
      </c>
      <c r="P38" s="363">
        <f t="shared" si="2"/>
        <v>0</v>
      </c>
      <c r="Q38" s="363">
        <f t="shared" si="2"/>
        <v>0</v>
      </c>
      <c r="R38" s="363">
        <f t="shared" si="2"/>
        <v>294900</v>
      </c>
      <c r="S38" s="363">
        <f t="shared" si="2"/>
        <v>1579564.19</v>
      </c>
      <c r="T38" s="365"/>
    </row>
    <row r="39" spans="1:20">
      <c r="A39" s="341" t="s">
        <v>143</v>
      </c>
      <c r="B39" s="377" t="s">
        <v>411</v>
      </c>
      <c r="C39" s="377" t="s">
        <v>411</v>
      </c>
      <c r="D39" s="378">
        <v>636500</v>
      </c>
      <c r="E39" s="378">
        <v>13200</v>
      </c>
      <c r="F39" s="378">
        <v>53000</v>
      </c>
      <c r="G39" s="377" t="s">
        <v>411</v>
      </c>
      <c r="H39" s="378">
        <v>30000</v>
      </c>
      <c r="I39" s="377" t="s">
        <v>411</v>
      </c>
      <c r="J39" s="378">
        <v>732700</v>
      </c>
      <c r="K39" s="377" t="s">
        <v>411</v>
      </c>
      <c r="L39" s="377" t="s">
        <v>411</v>
      </c>
      <c r="M39" s="378">
        <v>636029.27</v>
      </c>
      <c r="N39" s="378">
        <v>10135.82</v>
      </c>
      <c r="O39" s="378">
        <v>51900</v>
      </c>
      <c r="P39" s="377" t="s">
        <v>411</v>
      </c>
      <c r="Q39" s="378">
        <v>30000</v>
      </c>
      <c r="R39" s="377" t="s">
        <v>411</v>
      </c>
      <c r="S39" s="378">
        <v>728065.09</v>
      </c>
      <c r="T39" s="379">
        <v>0.99370000000000003</v>
      </c>
    </row>
    <row r="40" spans="1:20">
      <c r="A40" s="341" t="s">
        <v>144</v>
      </c>
      <c r="B40" s="292" t="s">
        <v>411</v>
      </c>
      <c r="C40" s="292" t="s">
        <v>411</v>
      </c>
      <c r="D40" s="293">
        <v>19590</v>
      </c>
      <c r="E40" s="292" t="s">
        <v>411</v>
      </c>
      <c r="F40" s="292" t="s">
        <v>411</v>
      </c>
      <c r="G40" s="292" t="s">
        <v>411</v>
      </c>
      <c r="H40" s="292" t="s">
        <v>411</v>
      </c>
      <c r="I40" s="292" t="s">
        <v>411</v>
      </c>
      <c r="J40" s="293">
        <v>19590</v>
      </c>
      <c r="K40" s="292" t="s">
        <v>411</v>
      </c>
      <c r="L40" s="292" t="s">
        <v>411</v>
      </c>
      <c r="M40" s="293">
        <v>19094</v>
      </c>
      <c r="N40" s="292" t="s">
        <v>411</v>
      </c>
      <c r="O40" s="292" t="s">
        <v>411</v>
      </c>
      <c r="P40" s="292" t="s">
        <v>411</v>
      </c>
      <c r="Q40" s="292" t="s">
        <v>411</v>
      </c>
      <c r="R40" s="292" t="s">
        <v>411</v>
      </c>
      <c r="S40" s="293">
        <v>19094</v>
      </c>
      <c r="T40" s="294">
        <v>0.97470000000000001</v>
      </c>
    </row>
    <row r="41" spans="1:20">
      <c r="A41" s="341" t="s">
        <v>145</v>
      </c>
      <c r="B41" s="288" t="s">
        <v>411</v>
      </c>
      <c r="C41" s="288" t="s">
        <v>411</v>
      </c>
      <c r="D41" s="289">
        <v>19590</v>
      </c>
      <c r="E41" s="288" t="s">
        <v>411</v>
      </c>
      <c r="F41" s="288" t="s">
        <v>411</v>
      </c>
      <c r="G41" s="288" t="s">
        <v>411</v>
      </c>
      <c r="H41" s="288" t="s">
        <v>411</v>
      </c>
      <c r="I41" s="288" t="s">
        <v>411</v>
      </c>
      <c r="J41" s="289">
        <v>19590</v>
      </c>
      <c r="K41" s="288" t="s">
        <v>411</v>
      </c>
      <c r="L41" s="288" t="s">
        <v>411</v>
      </c>
      <c r="M41" s="289">
        <v>19590</v>
      </c>
      <c r="N41" s="288" t="s">
        <v>411</v>
      </c>
      <c r="O41" s="288" t="s">
        <v>411</v>
      </c>
      <c r="P41" s="288" t="s">
        <v>411</v>
      </c>
      <c r="Q41" s="288" t="s">
        <v>411</v>
      </c>
      <c r="R41" s="288" t="s">
        <v>411</v>
      </c>
      <c r="S41" s="289">
        <v>19590</v>
      </c>
      <c r="T41" s="290">
        <v>1</v>
      </c>
    </row>
    <row r="42" spans="1:20">
      <c r="A42" s="341" t="s">
        <v>146</v>
      </c>
      <c r="B42" s="292" t="s">
        <v>411</v>
      </c>
      <c r="C42" s="292" t="s">
        <v>411</v>
      </c>
      <c r="D42" s="293">
        <v>190734</v>
      </c>
      <c r="E42" s="292" t="s">
        <v>411</v>
      </c>
      <c r="F42" s="293">
        <v>9900</v>
      </c>
      <c r="G42" s="292" t="s">
        <v>411</v>
      </c>
      <c r="H42" s="292" t="s">
        <v>411</v>
      </c>
      <c r="I42" s="292" t="s">
        <v>411</v>
      </c>
      <c r="J42" s="293">
        <v>200634</v>
      </c>
      <c r="K42" s="292" t="s">
        <v>411</v>
      </c>
      <c r="L42" s="292" t="s">
        <v>411</v>
      </c>
      <c r="M42" s="293">
        <v>169372</v>
      </c>
      <c r="N42" s="292" t="s">
        <v>411</v>
      </c>
      <c r="O42" s="293">
        <v>9900</v>
      </c>
      <c r="P42" s="292" t="s">
        <v>411</v>
      </c>
      <c r="Q42" s="292" t="s">
        <v>411</v>
      </c>
      <c r="R42" s="292" t="s">
        <v>411</v>
      </c>
      <c r="S42" s="293">
        <v>179272</v>
      </c>
      <c r="T42" s="294">
        <v>0.89349999999999996</v>
      </c>
    </row>
    <row r="43" spans="1:20">
      <c r="A43" s="341" t="s">
        <v>147</v>
      </c>
      <c r="B43" s="288" t="s">
        <v>411</v>
      </c>
      <c r="C43" s="288" t="s">
        <v>411</v>
      </c>
      <c r="D43" s="289">
        <v>64800</v>
      </c>
      <c r="E43" s="288" t="s">
        <v>411</v>
      </c>
      <c r="F43" s="288" t="s">
        <v>411</v>
      </c>
      <c r="G43" s="288" t="s">
        <v>411</v>
      </c>
      <c r="H43" s="288" t="s">
        <v>411</v>
      </c>
      <c r="I43" s="288" t="s">
        <v>411</v>
      </c>
      <c r="J43" s="289">
        <v>64800</v>
      </c>
      <c r="K43" s="288" t="s">
        <v>411</v>
      </c>
      <c r="L43" s="288" t="s">
        <v>411</v>
      </c>
      <c r="M43" s="289">
        <v>63622</v>
      </c>
      <c r="N43" s="288" t="s">
        <v>411</v>
      </c>
      <c r="O43" s="288" t="s">
        <v>411</v>
      </c>
      <c r="P43" s="288" t="s">
        <v>411</v>
      </c>
      <c r="Q43" s="288" t="s">
        <v>411</v>
      </c>
      <c r="R43" s="288" t="s">
        <v>411</v>
      </c>
      <c r="S43" s="289">
        <v>63622</v>
      </c>
      <c r="T43" s="290">
        <v>0.98180000000000001</v>
      </c>
    </row>
    <row r="44" spans="1:20">
      <c r="A44" s="341" t="s">
        <v>148</v>
      </c>
      <c r="B44" s="292" t="s">
        <v>411</v>
      </c>
      <c r="C44" s="292" t="s">
        <v>411</v>
      </c>
      <c r="D44" s="293">
        <v>20000</v>
      </c>
      <c r="E44" s="292" t="s">
        <v>411</v>
      </c>
      <c r="F44" s="292" t="s">
        <v>411</v>
      </c>
      <c r="G44" s="292" t="s">
        <v>411</v>
      </c>
      <c r="H44" s="292" t="s">
        <v>411</v>
      </c>
      <c r="I44" s="293">
        <v>20952</v>
      </c>
      <c r="J44" s="293">
        <v>40952</v>
      </c>
      <c r="K44" s="292" t="s">
        <v>411</v>
      </c>
      <c r="L44" s="292" t="s">
        <v>411</v>
      </c>
      <c r="M44" s="293">
        <v>20000</v>
      </c>
      <c r="N44" s="292" t="s">
        <v>411</v>
      </c>
      <c r="O44" s="292" t="s">
        <v>411</v>
      </c>
      <c r="P44" s="292" t="s">
        <v>411</v>
      </c>
      <c r="Q44" s="292" t="s">
        <v>411</v>
      </c>
      <c r="R44" s="293">
        <v>19152</v>
      </c>
      <c r="S44" s="293">
        <v>39152</v>
      </c>
      <c r="T44" s="294">
        <v>0.95599999999999996</v>
      </c>
    </row>
    <row r="45" spans="1:20">
      <c r="A45" s="341" t="s">
        <v>149</v>
      </c>
      <c r="B45" s="288" t="s">
        <v>411</v>
      </c>
      <c r="C45" s="288" t="s">
        <v>411</v>
      </c>
      <c r="D45" s="289">
        <v>17600</v>
      </c>
      <c r="E45" s="288" t="s">
        <v>411</v>
      </c>
      <c r="F45" s="288" t="s">
        <v>411</v>
      </c>
      <c r="G45" s="288" t="s">
        <v>411</v>
      </c>
      <c r="H45" s="288" t="s">
        <v>411</v>
      </c>
      <c r="I45" s="289">
        <v>12880</v>
      </c>
      <c r="J45" s="289">
        <v>30480</v>
      </c>
      <c r="K45" s="288" t="s">
        <v>411</v>
      </c>
      <c r="L45" s="288" t="s">
        <v>411</v>
      </c>
      <c r="M45" s="289">
        <v>17515</v>
      </c>
      <c r="N45" s="288" t="s">
        <v>411</v>
      </c>
      <c r="O45" s="288" t="s">
        <v>411</v>
      </c>
      <c r="P45" s="288" t="s">
        <v>411</v>
      </c>
      <c r="Q45" s="288" t="s">
        <v>411</v>
      </c>
      <c r="R45" s="289">
        <v>10680</v>
      </c>
      <c r="S45" s="289">
        <v>28195</v>
      </c>
      <c r="T45" s="290">
        <v>0.92500000000000004</v>
      </c>
    </row>
    <row r="46" spans="1:20">
      <c r="A46" s="341" t="s">
        <v>150</v>
      </c>
      <c r="B46" s="292" t="s">
        <v>411</v>
      </c>
      <c r="C46" s="292" t="s">
        <v>411</v>
      </c>
      <c r="D46" s="293">
        <v>161700</v>
      </c>
      <c r="E46" s="292" t="s">
        <v>411</v>
      </c>
      <c r="F46" s="292" t="s">
        <v>411</v>
      </c>
      <c r="G46" s="292" t="s">
        <v>411</v>
      </c>
      <c r="H46" s="293">
        <v>8000</v>
      </c>
      <c r="I46" s="292" t="s">
        <v>411</v>
      </c>
      <c r="J46" s="293">
        <v>169700</v>
      </c>
      <c r="K46" s="292" t="s">
        <v>411</v>
      </c>
      <c r="L46" s="292" t="s">
        <v>411</v>
      </c>
      <c r="M46" s="293">
        <v>161700</v>
      </c>
      <c r="N46" s="292" t="s">
        <v>411</v>
      </c>
      <c r="O46" s="292" t="s">
        <v>411</v>
      </c>
      <c r="P46" s="292" t="s">
        <v>411</v>
      </c>
      <c r="Q46" s="293">
        <v>8000</v>
      </c>
      <c r="R46" s="292" t="s">
        <v>411</v>
      </c>
      <c r="S46" s="293">
        <v>169700</v>
      </c>
      <c r="T46" s="294">
        <v>1</v>
      </c>
    </row>
    <row r="47" spans="1:20">
      <c r="A47" s="341" t="s">
        <v>152</v>
      </c>
      <c r="B47" s="371" t="s">
        <v>411</v>
      </c>
      <c r="C47" s="371" t="s">
        <v>411</v>
      </c>
      <c r="D47" s="372">
        <v>18600</v>
      </c>
      <c r="E47" s="371" t="s">
        <v>411</v>
      </c>
      <c r="F47" s="371" t="s">
        <v>411</v>
      </c>
      <c r="G47" s="371" t="s">
        <v>411</v>
      </c>
      <c r="H47" s="371" t="s">
        <v>411</v>
      </c>
      <c r="I47" s="372">
        <v>20952</v>
      </c>
      <c r="J47" s="372">
        <v>39552</v>
      </c>
      <c r="K47" s="371" t="s">
        <v>411</v>
      </c>
      <c r="L47" s="371" t="s">
        <v>411</v>
      </c>
      <c r="M47" s="372">
        <v>18600</v>
      </c>
      <c r="N47" s="371" t="s">
        <v>411</v>
      </c>
      <c r="O47" s="371" t="s">
        <v>411</v>
      </c>
      <c r="P47" s="371" t="s">
        <v>411</v>
      </c>
      <c r="Q47" s="371" t="s">
        <v>411</v>
      </c>
      <c r="R47" s="372">
        <v>19992</v>
      </c>
      <c r="S47" s="372">
        <v>38592</v>
      </c>
      <c r="T47" s="373">
        <v>0.97570000000000001</v>
      </c>
    </row>
    <row r="48" spans="1:20" s="362" customFormat="1">
      <c r="A48" s="346" t="s">
        <v>449</v>
      </c>
      <c r="B48" s="359">
        <f>SUM(B39:B47)</f>
        <v>0</v>
      </c>
      <c r="C48" s="359">
        <f t="shared" ref="C48:S48" si="3">SUM(C39:C47)</f>
        <v>0</v>
      </c>
      <c r="D48" s="359">
        <f t="shared" si="3"/>
        <v>1149114</v>
      </c>
      <c r="E48" s="359">
        <f t="shared" si="3"/>
        <v>13200</v>
      </c>
      <c r="F48" s="359">
        <f t="shared" si="3"/>
        <v>62900</v>
      </c>
      <c r="G48" s="359">
        <f t="shared" si="3"/>
        <v>0</v>
      </c>
      <c r="H48" s="359">
        <f t="shared" si="3"/>
        <v>38000</v>
      </c>
      <c r="I48" s="359">
        <f t="shared" si="3"/>
        <v>54784</v>
      </c>
      <c r="J48" s="359">
        <f t="shared" si="3"/>
        <v>1317998</v>
      </c>
      <c r="K48" s="359">
        <f t="shared" si="3"/>
        <v>0</v>
      </c>
      <c r="L48" s="359">
        <f t="shared" si="3"/>
        <v>0</v>
      </c>
      <c r="M48" s="359">
        <f t="shared" si="3"/>
        <v>1125522.27</v>
      </c>
      <c r="N48" s="359">
        <f t="shared" si="3"/>
        <v>10135.82</v>
      </c>
      <c r="O48" s="359">
        <f t="shared" si="3"/>
        <v>61800</v>
      </c>
      <c r="P48" s="359">
        <f t="shared" si="3"/>
        <v>0</v>
      </c>
      <c r="Q48" s="359">
        <f t="shared" si="3"/>
        <v>38000</v>
      </c>
      <c r="R48" s="359">
        <f t="shared" si="3"/>
        <v>49824</v>
      </c>
      <c r="S48" s="359">
        <f t="shared" si="3"/>
        <v>1285282.0899999999</v>
      </c>
      <c r="T48" s="361"/>
    </row>
    <row r="49" spans="1:20">
      <c r="A49" s="341" t="s">
        <v>154</v>
      </c>
      <c r="B49" s="368" t="s">
        <v>411</v>
      </c>
      <c r="C49" s="368" t="s">
        <v>411</v>
      </c>
      <c r="D49" s="369">
        <v>220880</v>
      </c>
      <c r="E49" s="368" t="s">
        <v>411</v>
      </c>
      <c r="F49" s="368" t="s">
        <v>411</v>
      </c>
      <c r="G49" s="368" t="s">
        <v>411</v>
      </c>
      <c r="H49" s="368" t="s">
        <v>411</v>
      </c>
      <c r="I49" s="368" t="s">
        <v>411</v>
      </c>
      <c r="J49" s="369">
        <v>220880</v>
      </c>
      <c r="K49" s="368" t="s">
        <v>411</v>
      </c>
      <c r="L49" s="368" t="s">
        <v>411</v>
      </c>
      <c r="M49" s="369">
        <v>177344.3</v>
      </c>
      <c r="N49" s="368" t="s">
        <v>411</v>
      </c>
      <c r="O49" s="368" t="s">
        <v>411</v>
      </c>
      <c r="P49" s="368" t="s">
        <v>411</v>
      </c>
      <c r="Q49" s="368" t="s">
        <v>411</v>
      </c>
      <c r="R49" s="368" t="s">
        <v>411</v>
      </c>
      <c r="S49" s="369">
        <v>177344.3</v>
      </c>
      <c r="T49" s="370">
        <v>0.80289999999999995</v>
      </c>
    </row>
    <row r="50" spans="1:20">
      <c r="A50" s="341" t="s">
        <v>155</v>
      </c>
      <c r="B50" s="288" t="s">
        <v>411</v>
      </c>
      <c r="C50" s="288" t="s">
        <v>411</v>
      </c>
      <c r="D50" s="289">
        <v>29600</v>
      </c>
      <c r="E50" s="288" t="s">
        <v>411</v>
      </c>
      <c r="F50" s="288" t="s">
        <v>411</v>
      </c>
      <c r="G50" s="288" t="s">
        <v>411</v>
      </c>
      <c r="H50" s="288" t="s">
        <v>411</v>
      </c>
      <c r="I50" s="288" t="s">
        <v>411</v>
      </c>
      <c r="J50" s="289">
        <v>29600</v>
      </c>
      <c r="K50" s="288" t="s">
        <v>411</v>
      </c>
      <c r="L50" s="288" t="s">
        <v>411</v>
      </c>
      <c r="M50" s="289">
        <v>29600</v>
      </c>
      <c r="N50" s="288" t="s">
        <v>411</v>
      </c>
      <c r="O50" s="288" t="s">
        <v>411</v>
      </c>
      <c r="P50" s="288" t="s">
        <v>411</v>
      </c>
      <c r="Q50" s="288" t="s">
        <v>411</v>
      </c>
      <c r="R50" s="288" t="s">
        <v>411</v>
      </c>
      <c r="S50" s="289">
        <v>29600</v>
      </c>
      <c r="T50" s="290">
        <v>1</v>
      </c>
    </row>
    <row r="51" spans="1:20">
      <c r="A51" s="341" t="s">
        <v>156</v>
      </c>
      <c r="B51" s="292" t="s">
        <v>411</v>
      </c>
      <c r="C51" s="292" t="s">
        <v>411</v>
      </c>
      <c r="D51" s="293">
        <v>63840</v>
      </c>
      <c r="E51" s="293">
        <v>3000</v>
      </c>
      <c r="F51" s="292" t="s">
        <v>411</v>
      </c>
      <c r="G51" s="292" t="s">
        <v>411</v>
      </c>
      <c r="H51" s="292" t="s">
        <v>411</v>
      </c>
      <c r="I51" s="292" t="s">
        <v>411</v>
      </c>
      <c r="J51" s="293">
        <v>66840</v>
      </c>
      <c r="K51" s="292" t="s">
        <v>411</v>
      </c>
      <c r="L51" s="292" t="s">
        <v>411</v>
      </c>
      <c r="M51" s="293">
        <v>61367</v>
      </c>
      <c r="N51" s="293">
        <v>3000</v>
      </c>
      <c r="O51" s="292" t="s">
        <v>411</v>
      </c>
      <c r="P51" s="292" t="s">
        <v>411</v>
      </c>
      <c r="Q51" s="292" t="s">
        <v>411</v>
      </c>
      <c r="R51" s="292" t="s">
        <v>411</v>
      </c>
      <c r="S51" s="293">
        <v>64367</v>
      </c>
      <c r="T51" s="294">
        <v>0.96299999999999997</v>
      </c>
    </row>
    <row r="52" spans="1:20">
      <c r="A52" s="341" t="s">
        <v>157</v>
      </c>
      <c r="B52" s="288" t="s">
        <v>411</v>
      </c>
      <c r="C52" s="288" t="s">
        <v>411</v>
      </c>
      <c r="D52" s="289">
        <v>46700</v>
      </c>
      <c r="E52" s="288" t="s">
        <v>411</v>
      </c>
      <c r="F52" s="288" t="s">
        <v>411</v>
      </c>
      <c r="G52" s="288" t="s">
        <v>411</v>
      </c>
      <c r="H52" s="288" t="s">
        <v>411</v>
      </c>
      <c r="I52" s="288" t="s">
        <v>411</v>
      </c>
      <c r="J52" s="289">
        <v>46700</v>
      </c>
      <c r="K52" s="288" t="s">
        <v>411</v>
      </c>
      <c r="L52" s="288" t="s">
        <v>411</v>
      </c>
      <c r="M52" s="289">
        <v>46700</v>
      </c>
      <c r="N52" s="288" t="s">
        <v>411</v>
      </c>
      <c r="O52" s="288" t="s">
        <v>411</v>
      </c>
      <c r="P52" s="288" t="s">
        <v>411</v>
      </c>
      <c r="Q52" s="288" t="s">
        <v>411</v>
      </c>
      <c r="R52" s="288" t="s">
        <v>411</v>
      </c>
      <c r="S52" s="289">
        <v>46700</v>
      </c>
      <c r="T52" s="290">
        <v>1</v>
      </c>
    </row>
    <row r="53" spans="1:20">
      <c r="A53" s="341" t="s">
        <v>158</v>
      </c>
      <c r="B53" s="288" t="s">
        <v>411</v>
      </c>
      <c r="C53" s="288" t="s">
        <v>411</v>
      </c>
      <c r="D53" s="289">
        <v>44040</v>
      </c>
      <c r="E53" s="288" t="s">
        <v>411</v>
      </c>
      <c r="F53" s="288" t="s">
        <v>411</v>
      </c>
      <c r="G53" s="288" t="s">
        <v>411</v>
      </c>
      <c r="H53" s="288" t="s">
        <v>411</v>
      </c>
      <c r="I53" s="288" t="s">
        <v>411</v>
      </c>
      <c r="J53" s="289">
        <v>44040</v>
      </c>
      <c r="K53" s="288" t="s">
        <v>411</v>
      </c>
      <c r="L53" s="288" t="s">
        <v>411</v>
      </c>
      <c r="M53" s="289">
        <v>44036</v>
      </c>
      <c r="N53" s="288" t="s">
        <v>411</v>
      </c>
      <c r="O53" s="288" t="s">
        <v>411</v>
      </c>
      <c r="P53" s="288" t="s">
        <v>411</v>
      </c>
      <c r="Q53" s="288" t="s">
        <v>411</v>
      </c>
      <c r="R53" s="288" t="s">
        <v>411</v>
      </c>
      <c r="S53" s="289">
        <v>44036</v>
      </c>
      <c r="T53" s="290">
        <v>0.99990000000000001</v>
      </c>
    </row>
    <row r="54" spans="1:20">
      <c r="A54" s="341" t="s">
        <v>159</v>
      </c>
      <c r="B54" s="292" t="s">
        <v>411</v>
      </c>
      <c r="C54" s="292" t="s">
        <v>411</v>
      </c>
      <c r="D54" s="293">
        <v>31500</v>
      </c>
      <c r="E54" s="292" t="s">
        <v>411</v>
      </c>
      <c r="F54" s="292" t="s">
        <v>411</v>
      </c>
      <c r="G54" s="292" t="s">
        <v>411</v>
      </c>
      <c r="H54" s="292" t="s">
        <v>411</v>
      </c>
      <c r="I54" s="292" t="s">
        <v>411</v>
      </c>
      <c r="J54" s="293">
        <v>31500</v>
      </c>
      <c r="K54" s="292" t="s">
        <v>411</v>
      </c>
      <c r="L54" s="292" t="s">
        <v>411</v>
      </c>
      <c r="M54" s="293">
        <v>31500</v>
      </c>
      <c r="N54" s="292" t="s">
        <v>411</v>
      </c>
      <c r="O54" s="292" t="s">
        <v>411</v>
      </c>
      <c r="P54" s="292" t="s">
        <v>411</v>
      </c>
      <c r="Q54" s="292" t="s">
        <v>411</v>
      </c>
      <c r="R54" s="292" t="s">
        <v>411</v>
      </c>
      <c r="S54" s="293">
        <v>31500</v>
      </c>
      <c r="T54" s="294">
        <v>1</v>
      </c>
    </row>
    <row r="55" spans="1:20">
      <c r="A55" s="341" t="s">
        <v>160</v>
      </c>
      <c r="B55" s="288" t="s">
        <v>411</v>
      </c>
      <c r="C55" s="288" t="s">
        <v>411</v>
      </c>
      <c r="D55" s="289">
        <v>67220</v>
      </c>
      <c r="E55" s="288" t="s">
        <v>411</v>
      </c>
      <c r="F55" s="288" t="s">
        <v>411</v>
      </c>
      <c r="G55" s="288" t="s">
        <v>411</v>
      </c>
      <c r="H55" s="288" t="s">
        <v>411</v>
      </c>
      <c r="I55" s="288" t="s">
        <v>411</v>
      </c>
      <c r="J55" s="289">
        <v>67220</v>
      </c>
      <c r="K55" s="288" t="s">
        <v>411</v>
      </c>
      <c r="L55" s="288" t="s">
        <v>411</v>
      </c>
      <c r="M55" s="289">
        <v>52098</v>
      </c>
      <c r="N55" s="288" t="s">
        <v>411</v>
      </c>
      <c r="O55" s="288" t="s">
        <v>411</v>
      </c>
      <c r="P55" s="288" t="s">
        <v>411</v>
      </c>
      <c r="Q55" s="288" t="s">
        <v>411</v>
      </c>
      <c r="R55" s="288" t="s">
        <v>411</v>
      </c>
      <c r="S55" s="289">
        <v>52098</v>
      </c>
      <c r="T55" s="290">
        <v>0.77500000000000002</v>
      </c>
    </row>
    <row r="56" spans="1:20">
      <c r="A56" s="341" t="s">
        <v>161</v>
      </c>
      <c r="B56" s="292" t="s">
        <v>411</v>
      </c>
      <c r="C56" s="292" t="s">
        <v>411</v>
      </c>
      <c r="D56" s="293">
        <v>26180</v>
      </c>
      <c r="E56" s="292" t="s">
        <v>411</v>
      </c>
      <c r="F56" s="292" t="s">
        <v>411</v>
      </c>
      <c r="G56" s="292" t="s">
        <v>411</v>
      </c>
      <c r="H56" s="292" t="s">
        <v>411</v>
      </c>
      <c r="I56" s="292" t="s">
        <v>411</v>
      </c>
      <c r="J56" s="293">
        <v>26180</v>
      </c>
      <c r="K56" s="292" t="s">
        <v>411</v>
      </c>
      <c r="L56" s="292" t="s">
        <v>411</v>
      </c>
      <c r="M56" s="293">
        <v>26180</v>
      </c>
      <c r="N56" s="292" t="s">
        <v>411</v>
      </c>
      <c r="O56" s="292" t="s">
        <v>411</v>
      </c>
      <c r="P56" s="292" t="s">
        <v>411</v>
      </c>
      <c r="Q56" s="292" t="s">
        <v>411</v>
      </c>
      <c r="R56" s="292" t="s">
        <v>411</v>
      </c>
      <c r="S56" s="293">
        <v>26180</v>
      </c>
      <c r="T56" s="294">
        <v>1</v>
      </c>
    </row>
    <row r="57" spans="1:20">
      <c r="A57" s="341" t="s">
        <v>162</v>
      </c>
      <c r="B57" s="288" t="s">
        <v>411</v>
      </c>
      <c r="C57" s="288" t="s">
        <v>411</v>
      </c>
      <c r="D57" s="289">
        <v>44420</v>
      </c>
      <c r="E57" s="288" t="s">
        <v>411</v>
      </c>
      <c r="F57" s="288" t="s">
        <v>411</v>
      </c>
      <c r="G57" s="288" t="s">
        <v>411</v>
      </c>
      <c r="H57" s="288" t="s">
        <v>411</v>
      </c>
      <c r="I57" s="288" t="s">
        <v>411</v>
      </c>
      <c r="J57" s="289">
        <v>44420</v>
      </c>
      <c r="K57" s="288" t="s">
        <v>411</v>
      </c>
      <c r="L57" s="288" t="s">
        <v>411</v>
      </c>
      <c r="M57" s="289">
        <v>30076.5</v>
      </c>
      <c r="N57" s="288" t="s">
        <v>411</v>
      </c>
      <c r="O57" s="288" t="s">
        <v>411</v>
      </c>
      <c r="P57" s="288" t="s">
        <v>411</v>
      </c>
      <c r="Q57" s="288" t="s">
        <v>411</v>
      </c>
      <c r="R57" s="288" t="s">
        <v>411</v>
      </c>
      <c r="S57" s="289">
        <v>30076.5</v>
      </c>
      <c r="T57" s="290">
        <v>0.67710000000000004</v>
      </c>
    </row>
    <row r="58" spans="1:20">
      <c r="A58" s="341" t="s">
        <v>163</v>
      </c>
      <c r="B58" s="374" t="s">
        <v>411</v>
      </c>
      <c r="C58" s="374" t="s">
        <v>411</v>
      </c>
      <c r="D58" s="375">
        <v>40620</v>
      </c>
      <c r="E58" s="374" t="s">
        <v>411</v>
      </c>
      <c r="F58" s="374" t="s">
        <v>411</v>
      </c>
      <c r="G58" s="374" t="s">
        <v>411</v>
      </c>
      <c r="H58" s="374" t="s">
        <v>411</v>
      </c>
      <c r="I58" s="375">
        <v>10395</v>
      </c>
      <c r="J58" s="375">
        <v>51015</v>
      </c>
      <c r="K58" s="374" t="s">
        <v>411</v>
      </c>
      <c r="L58" s="374" t="s">
        <v>411</v>
      </c>
      <c r="M58" s="375">
        <v>40130</v>
      </c>
      <c r="N58" s="374" t="s">
        <v>411</v>
      </c>
      <c r="O58" s="374" t="s">
        <v>411</v>
      </c>
      <c r="P58" s="374" t="s">
        <v>411</v>
      </c>
      <c r="Q58" s="374" t="s">
        <v>411</v>
      </c>
      <c r="R58" s="375">
        <v>10395</v>
      </c>
      <c r="S58" s="375">
        <v>50525</v>
      </c>
      <c r="T58" s="376">
        <v>0.99039999999999995</v>
      </c>
    </row>
    <row r="59" spans="1:20" s="362" customFormat="1">
      <c r="A59" s="346" t="s">
        <v>275</v>
      </c>
      <c r="B59" s="363">
        <f>SUM(B49:B58)</f>
        <v>0</v>
      </c>
      <c r="C59" s="363">
        <f t="shared" ref="C59:S59" si="4">SUM(C49:C58)</f>
        <v>0</v>
      </c>
      <c r="D59" s="363">
        <f t="shared" si="4"/>
        <v>615000</v>
      </c>
      <c r="E59" s="363">
        <f t="shared" si="4"/>
        <v>3000</v>
      </c>
      <c r="F59" s="363">
        <f t="shared" si="4"/>
        <v>0</v>
      </c>
      <c r="G59" s="363">
        <f t="shared" si="4"/>
        <v>0</v>
      </c>
      <c r="H59" s="363">
        <f t="shared" si="4"/>
        <v>0</v>
      </c>
      <c r="I59" s="363">
        <f t="shared" si="4"/>
        <v>10395</v>
      </c>
      <c r="J59" s="363">
        <f t="shared" si="4"/>
        <v>628395</v>
      </c>
      <c r="K59" s="363">
        <f t="shared" si="4"/>
        <v>0</v>
      </c>
      <c r="L59" s="363">
        <f t="shared" si="4"/>
        <v>0</v>
      </c>
      <c r="M59" s="363">
        <f t="shared" si="4"/>
        <v>539031.80000000005</v>
      </c>
      <c r="N59" s="363">
        <f t="shared" si="4"/>
        <v>3000</v>
      </c>
      <c r="O59" s="363">
        <f t="shared" si="4"/>
        <v>0</v>
      </c>
      <c r="P59" s="363">
        <f t="shared" si="4"/>
        <v>0</v>
      </c>
      <c r="Q59" s="363">
        <f t="shared" si="4"/>
        <v>0</v>
      </c>
      <c r="R59" s="363">
        <f t="shared" si="4"/>
        <v>10395</v>
      </c>
      <c r="S59" s="363">
        <f t="shared" si="4"/>
        <v>552426.80000000005</v>
      </c>
      <c r="T59" s="365"/>
    </row>
    <row r="60" spans="1:20" s="362" customFormat="1">
      <c r="A60" s="346" t="s">
        <v>450</v>
      </c>
      <c r="B60" s="359" t="s">
        <v>411</v>
      </c>
      <c r="C60" s="359" t="s">
        <v>411</v>
      </c>
      <c r="D60" s="360">
        <v>136500</v>
      </c>
      <c r="E60" s="360">
        <v>8000</v>
      </c>
      <c r="F60" s="360">
        <v>15400</v>
      </c>
      <c r="G60" s="359" t="s">
        <v>411</v>
      </c>
      <c r="H60" s="359" t="s">
        <v>411</v>
      </c>
      <c r="I60" s="359" t="s">
        <v>411</v>
      </c>
      <c r="J60" s="360">
        <v>159900</v>
      </c>
      <c r="K60" s="359" t="s">
        <v>411</v>
      </c>
      <c r="L60" s="359" t="s">
        <v>411</v>
      </c>
      <c r="M60" s="360">
        <v>133297.5</v>
      </c>
      <c r="N60" s="360">
        <v>5690.26</v>
      </c>
      <c r="O60" s="360">
        <v>15400</v>
      </c>
      <c r="P60" s="359" t="s">
        <v>411</v>
      </c>
      <c r="Q60" s="359" t="s">
        <v>411</v>
      </c>
      <c r="R60" s="359" t="s">
        <v>411</v>
      </c>
      <c r="S60" s="360">
        <v>154387.76</v>
      </c>
      <c r="T60" s="361">
        <v>0.96550000000000002</v>
      </c>
    </row>
    <row r="61" spans="1:20">
      <c r="A61" s="341" t="s">
        <v>168</v>
      </c>
      <c r="B61" s="368" t="s">
        <v>411</v>
      </c>
      <c r="C61" s="368" t="s">
        <v>411</v>
      </c>
      <c r="D61" s="369">
        <v>121720</v>
      </c>
      <c r="E61" s="369">
        <v>9000</v>
      </c>
      <c r="F61" s="369">
        <v>17290</v>
      </c>
      <c r="G61" s="368" t="s">
        <v>411</v>
      </c>
      <c r="H61" s="368" t="s">
        <v>411</v>
      </c>
      <c r="I61" s="368" t="s">
        <v>411</v>
      </c>
      <c r="J61" s="369">
        <v>148010</v>
      </c>
      <c r="K61" s="368" t="s">
        <v>411</v>
      </c>
      <c r="L61" s="368" t="s">
        <v>411</v>
      </c>
      <c r="M61" s="369">
        <v>105288</v>
      </c>
      <c r="N61" s="369">
        <v>6698.77</v>
      </c>
      <c r="O61" s="369">
        <v>17290</v>
      </c>
      <c r="P61" s="368" t="s">
        <v>411</v>
      </c>
      <c r="Q61" s="368" t="s">
        <v>411</v>
      </c>
      <c r="R61" s="368" t="s">
        <v>411</v>
      </c>
      <c r="S61" s="369">
        <v>129276.77</v>
      </c>
      <c r="T61" s="370">
        <v>0.87339999999999995</v>
      </c>
    </row>
    <row r="62" spans="1:20">
      <c r="A62" s="341" t="s">
        <v>169</v>
      </c>
      <c r="B62" s="288" t="s">
        <v>411</v>
      </c>
      <c r="C62" s="288" t="s">
        <v>411</v>
      </c>
      <c r="D62" s="289">
        <v>560000</v>
      </c>
      <c r="E62" s="288" t="s">
        <v>411</v>
      </c>
      <c r="F62" s="289">
        <v>19000</v>
      </c>
      <c r="G62" s="288" t="s">
        <v>411</v>
      </c>
      <c r="H62" s="289">
        <v>40000</v>
      </c>
      <c r="I62" s="289">
        <v>40000</v>
      </c>
      <c r="J62" s="289">
        <v>659000</v>
      </c>
      <c r="K62" s="288" t="s">
        <v>411</v>
      </c>
      <c r="L62" s="288" t="s">
        <v>411</v>
      </c>
      <c r="M62" s="289">
        <v>518587</v>
      </c>
      <c r="N62" s="288" t="s">
        <v>411</v>
      </c>
      <c r="O62" s="289">
        <v>19000</v>
      </c>
      <c r="P62" s="288" t="s">
        <v>411</v>
      </c>
      <c r="Q62" s="289">
        <v>24000</v>
      </c>
      <c r="R62" s="289">
        <v>39980</v>
      </c>
      <c r="S62" s="289">
        <v>601567</v>
      </c>
      <c r="T62" s="290">
        <v>0.91279999999999994</v>
      </c>
    </row>
    <row r="63" spans="1:20">
      <c r="A63" s="341" t="s">
        <v>170</v>
      </c>
      <c r="B63" s="374" t="s">
        <v>411</v>
      </c>
      <c r="C63" s="374" t="s">
        <v>411</v>
      </c>
      <c r="D63" s="375">
        <v>440000</v>
      </c>
      <c r="E63" s="374" t="s">
        <v>411</v>
      </c>
      <c r="F63" s="375">
        <v>52990</v>
      </c>
      <c r="G63" s="374" t="s">
        <v>411</v>
      </c>
      <c r="H63" s="374" t="s">
        <v>411</v>
      </c>
      <c r="I63" s="374" t="s">
        <v>411</v>
      </c>
      <c r="J63" s="375">
        <v>492990</v>
      </c>
      <c r="K63" s="374" t="s">
        <v>411</v>
      </c>
      <c r="L63" s="374" t="s">
        <v>411</v>
      </c>
      <c r="M63" s="375">
        <v>423503</v>
      </c>
      <c r="N63" s="374" t="s">
        <v>411</v>
      </c>
      <c r="O63" s="375">
        <v>52990</v>
      </c>
      <c r="P63" s="374" t="s">
        <v>411</v>
      </c>
      <c r="Q63" s="374" t="s">
        <v>411</v>
      </c>
      <c r="R63" s="374" t="s">
        <v>411</v>
      </c>
      <c r="S63" s="375">
        <v>476493</v>
      </c>
      <c r="T63" s="376">
        <v>0.96650000000000003</v>
      </c>
    </row>
    <row r="64" spans="1:20" s="362" customFormat="1">
      <c r="A64" s="346" t="s">
        <v>451</v>
      </c>
      <c r="B64" s="363">
        <f>SUM(B61:B63)</f>
        <v>0</v>
      </c>
      <c r="C64" s="363">
        <f t="shared" ref="C64:S64" si="5">SUM(C61:C63)</f>
        <v>0</v>
      </c>
      <c r="D64" s="363">
        <f t="shared" si="5"/>
        <v>1121720</v>
      </c>
      <c r="E64" s="363">
        <f t="shared" si="5"/>
        <v>9000</v>
      </c>
      <c r="F64" s="363">
        <f t="shared" si="5"/>
        <v>89280</v>
      </c>
      <c r="G64" s="363">
        <f t="shared" si="5"/>
        <v>0</v>
      </c>
      <c r="H64" s="363">
        <f t="shared" si="5"/>
        <v>40000</v>
      </c>
      <c r="I64" s="363">
        <f t="shared" si="5"/>
        <v>40000</v>
      </c>
      <c r="J64" s="363">
        <f t="shared" si="5"/>
        <v>1300000</v>
      </c>
      <c r="K64" s="363">
        <f t="shared" si="5"/>
        <v>0</v>
      </c>
      <c r="L64" s="363">
        <f t="shared" si="5"/>
        <v>0</v>
      </c>
      <c r="M64" s="363">
        <f t="shared" si="5"/>
        <v>1047378</v>
      </c>
      <c r="N64" s="363">
        <f t="shared" si="5"/>
        <v>6698.77</v>
      </c>
      <c r="O64" s="363">
        <f t="shared" si="5"/>
        <v>89280</v>
      </c>
      <c r="P64" s="363">
        <f t="shared" si="5"/>
        <v>0</v>
      </c>
      <c r="Q64" s="363">
        <f t="shared" si="5"/>
        <v>24000</v>
      </c>
      <c r="R64" s="363">
        <f t="shared" si="5"/>
        <v>39980</v>
      </c>
      <c r="S64" s="363">
        <f t="shared" si="5"/>
        <v>1207336.77</v>
      </c>
      <c r="T64" s="365"/>
    </row>
    <row r="65" spans="1:20">
      <c r="A65" s="341" t="s">
        <v>171</v>
      </c>
      <c r="B65" s="377" t="s">
        <v>411</v>
      </c>
      <c r="C65" s="377" t="s">
        <v>411</v>
      </c>
      <c r="D65" s="378">
        <v>146900</v>
      </c>
      <c r="E65" s="378">
        <v>7200</v>
      </c>
      <c r="F65" s="377" t="s">
        <v>411</v>
      </c>
      <c r="G65" s="377" t="s">
        <v>411</v>
      </c>
      <c r="H65" s="377" t="s">
        <v>411</v>
      </c>
      <c r="I65" s="378">
        <v>45900</v>
      </c>
      <c r="J65" s="378">
        <v>200000</v>
      </c>
      <c r="K65" s="377" t="s">
        <v>411</v>
      </c>
      <c r="L65" s="377" t="s">
        <v>411</v>
      </c>
      <c r="M65" s="378">
        <v>146899.5</v>
      </c>
      <c r="N65" s="378">
        <v>5339.3</v>
      </c>
      <c r="O65" s="377" t="s">
        <v>411</v>
      </c>
      <c r="P65" s="377" t="s">
        <v>411</v>
      </c>
      <c r="Q65" s="377" t="s">
        <v>411</v>
      </c>
      <c r="R65" s="378">
        <v>45900</v>
      </c>
      <c r="S65" s="378">
        <v>198138.8</v>
      </c>
      <c r="T65" s="379">
        <v>0.99070000000000003</v>
      </c>
    </row>
    <row r="66" spans="1:20">
      <c r="A66" s="341" t="s">
        <v>172</v>
      </c>
      <c r="B66" s="374" t="s">
        <v>411</v>
      </c>
      <c r="C66" s="374" t="s">
        <v>411</v>
      </c>
      <c r="D66" s="375">
        <v>444300</v>
      </c>
      <c r="E66" s="375">
        <v>3000</v>
      </c>
      <c r="F66" s="374" t="s">
        <v>411</v>
      </c>
      <c r="G66" s="374" t="s">
        <v>411</v>
      </c>
      <c r="H66" s="375">
        <v>1542000</v>
      </c>
      <c r="I66" s="375">
        <v>57840</v>
      </c>
      <c r="J66" s="375">
        <v>2047140</v>
      </c>
      <c r="K66" s="374" t="s">
        <v>411</v>
      </c>
      <c r="L66" s="374" t="s">
        <v>411</v>
      </c>
      <c r="M66" s="375">
        <v>444221</v>
      </c>
      <c r="N66" s="375">
        <v>3000</v>
      </c>
      <c r="O66" s="374" t="s">
        <v>411</v>
      </c>
      <c r="P66" s="374" t="s">
        <v>411</v>
      </c>
      <c r="Q66" s="375">
        <v>1341000</v>
      </c>
      <c r="R66" s="375">
        <v>46150</v>
      </c>
      <c r="S66" s="375">
        <v>1834371</v>
      </c>
      <c r="T66" s="376">
        <v>0.89610000000000001</v>
      </c>
    </row>
    <row r="67" spans="1:20" s="362" customFormat="1">
      <c r="A67" s="346" t="s">
        <v>435</v>
      </c>
      <c r="B67" s="363">
        <f>SUM(B65:B66)</f>
        <v>0</v>
      </c>
      <c r="C67" s="363">
        <f t="shared" ref="C67:S67" si="6">SUM(C65:C66)</f>
        <v>0</v>
      </c>
      <c r="D67" s="363">
        <f t="shared" si="6"/>
        <v>591200</v>
      </c>
      <c r="E67" s="363">
        <f t="shared" si="6"/>
        <v>10200</v>
      </c>
      <c r="F67" s="363">
        <f t="shared" si="6"/>
        <v>0</v>
      </c>
      <c r="G67" s="363">
        <f t="shared" si="6"/>
        <v>0</v>
      </c>
      <c r="H67" s="363">
        <f t="shared" si="6"/>
        <v>1542000</v>
      </c>
      <c r="I67" s="363">
        <f t="shared" si="6"/>
        <v>103740</v>
      </c>
      <c r="J67" s="363">
        <f t="shared" si="6"/>
        <v>2247140</v>
      </c>
      <c r="K67" s="363">
        <f t="shared" si="6"/>
        <v>0</v>
      </c>
      <c r="L67" s="363">
        <f t="shared" si="6"/>
        <v>0</v>
      </c>
      <c r="M67" s="363">
        <f t="shared" si="6"/>
        <v>591120.5</v>
      </c>
      <c r="N67" s="363">
        <f t="shared" si="6"/>
        <v>8339.2999999999993</v>
      </c>
      <c r="O67" s="363">
        <f t="shared" si="6"/>
        <v>0</v>
      </c>
      <c r="P67" s="363">
        <f t="shared" si="6"/>
        <v>0</v>
      </c>
      <c r="Q67" s="363">
        <f t="shared" si="6"/>
        <v>1341000</v>
      </c>
      <c r="R67" s="363">
        <f t="shared" si="6"/>
        <v>92050</v>
      </c>
      <c r="S67" s="363">
        <f t="shared" si="6"/>
        <v>2032509.8</v>
      </c>
      <c r="T67" s="365"/>
    </row>
    <row r="68" spans="1:20">
      <c r="A68" s="341" t="s">
        <v>174</v>
      </c>
      <c r="B68" s="377" t="s">
        <v>411</v>
      </c>
      <c r="C68" s="377" t="s">
        <v>411</v>
      </c>
      <c r="D68" s="378">
        <v>192500</v>
      </c>
      <c r="E68" s="378">
        <v>7500</v>
      </c>
      <c r="F68" s="377" t="s">
        <v>411</v>
      </c>
      <c r="G68" s="377" t="s">
        <v>411</v>
      </c>
      <c r="H68" s="377" t="s">
        <v>411</v>
      </c>
      <c r="I68" s="377" t="s">
        <v>411</v>
      </c>
      <c r="J68" s="378">
        <v>200000</v>
      </c>
      <c r="K68" s="377" t="s">
        <v>411</v>
      </c>
      <c r="L68" s="377" t="s">
        <v>411</v>
      </c>
      <c r="M68" s="378">
        <v>183816</v>
      </c>
      <c r="N68" s="378">
        <v>6600</v>
      </c>
      <c r="O68" s="377" t="s">
        <v>411</v>
      </c>
      <c r="P68" s="377" t="s">
        <v>411</v>
      </c>
      <c r="Q68" s="377" t="s">
        <v>411</v>
      </c>
      <c r="R68" s="377" t="s">
        <v>411</v>
      </c>
      <c r="S68" s="378">
        <v>190416</v>
      </c>
      <c r="T68" s="379">
        <v>0.95209999999999995</v>
      </c>
    </row>
    <row r="69" spans="1:20">
      <c r="A69" s="341" t="s">
        <v>175</v>
      </c>
      <c r="B69" s="292" t="s">
        <v>411</v>
      </c>
      <c r="C69" s="292" t="s">
        <v>411</v>
      </c>
      <c r="D69" s="293">
        <v>578000</v>
      </c>
      <c r="E69" s="292" t="s">
        <v>411</v>
      </c>
      <c r="F69" s="292" t="s">
        <v>411</v>
      </c>
      <c r="G69" s="292" t="s">
        <v>411</v>
      </c>
      <c r="H69" s="292" t="s">
        <v>411</v>
      </c>
      <c r="I69" s="292" t="s">
        <v>411</v>
      </c>
      <c r="J69" s="293">
        <v>578000</v>
      </c>
      <c r="K69" s="292" t="s">
        <v>411</v>
      </c>
      <c r="L69" s="292" t="s">
        <v>411</v>
      </c>
      <c r="M69" s="293">
        <v>578000</v>
      </c>
      <c r="N69" s="292" t="s">
        <v>411</v>
      </c>
      <c r="O69" s="292" t="s">
        <v>411</v>
      </c>
      <c r="P69" s="292" t="s">
        <v>411</v>
      </c>
      <c r="Q69" s="292" t="s">
        <v>411</v>
      </c>
      <c r="R69" s="292" t="s">
        <v>411</v>
      </c>
      <c r="S69" s="293">
        <v>578000</v>
      </c>
      <c r="T69" s="294">
        <v>1</v>
      </c>
    </row>
    <row r="70" spans="1:20">
      <c r="A70" s="341" t="s">
        <v>176</v>
      </c>
      <c r="B70" s="371" t="s">
        <v>411</v>
      </c>
      <c r="C70" s="371" t="s">
        <v>411</v>
      </c>
      <c r="D70" s="371" t="s">
        <v>411</v>
      </c>
      <c r="E70" s="371" t="s">
        <v>411</v>
      </c>
      <c r="F70" s="371" t="s">
        <v>411</v>
      </c>
      <c r="G70" s="371" t="s">
        <v>411</v>
      </c>
      <c r="H70" s="371" t="s">
        <v>411</v>
      </c>
      <c r="I70" s="372">
        <v>12000</v>
      </c>
      <c r="J70" s="372">
        <v>12000</v>
      </c>
      <c r="K70" s="371" t="s">
        <v>411</v>
      </c>
      <c r="L70" s="371" t="s">
        <v>411</v>
      </c>
      <c r="M70" s="371" t="s">
        <v>411</v>
      </c>
      <c r="N70" s="371" t="s">
        <v>411</v>
      </c>
      <c r="O70" s="371" t="s">
        <v>411</v>
      </c>
      <c r="P70" s="371" t="s">
        <v>411</v>
      </c>
      <c r="Q70" s="371" t="s">
        <v>411</v>
      </c>
      <c r="R70" s="371" t="s">
        <v>411</v>
      </c>
      <c r="S70" s="371" t="s">
        <v>411</v>
      </c>
      <c r="T70" s="371" t="s">
        <v>411</v>
      </c>
    </row>
    <row r="71" spans="1:20" s="362" customFormat="1">
      <c r="A71" s="346" t="s">
        <v>452</v>
      </c>
      <c r="B71" s="363">
        <f>SUM(B68:B70)</f>
        <v>0</v>
      </c>
      <c r="C71" s="363">
        <f t="shared" ref="C71:S71" si="7">SUM(C68:C70)</f>
        <v>0</v>
      </c>
      <c r="D71" s="363">
        <f t="shared" si="7"/>
        <v>770500</v>
      </c>
      <c r="E71" s="363">
        <f t="shared" si="7"/>
        <v>7500</v>
      </c>
      <c r="F71" s="363">
        <f t="shared" si="7"/>
        <v>0</v>
      </c>
      <c r="G71" s="363">
        <f t="shared" si="7"/>
        <v>0</v>
      </c>
      <c r="H71" s="363">
        <f t="shared" si="7"/>
        <v>0</v>
      </c>
      <c r="I71" s="363">
        <f t="shared" si="7"/>
        <v>12000</v>
      </c>
      <c r="J71" s="363">
        <f t="shared" si="7"/>
        <v>790000</v>
      </c>
      <c r="K71" s="363">
        <f t="shared" si="7"/>
        <v>0</v>
      </c>
      <c r="L71" s="363">
        <f t="shared" si="7"/>
        <v>0</v>
      </c>
      <c r="M71" s="363">
        <f t="shared" si="7"/>
        <v>761816</v>
      </c>
      <c r="N71" s="363">
        <f t="shared" si="7"/>
        <v>6600</v>
      </c>
      <c r="O71" s="363">
        <f t="shared" si="7"/>
        <v>0</v>
      </c>
      <c r="P71" s="363">
        <f t="shared" si="7"/>
        <v>0</v>
      </c>
      <c r="Q71" s="363">
        <f t="shared" si="7"/>
        <v>0</v>
      </c>
      <c r="R71" s="363">
        <f t="shared" si="7"/>
        <v>0</v>
      </c>
      <c r="S71" s="363">
        <f t="shared" si="7"/>
        <v>768416</v>
      </c>
      <c r="T71" s="359"/>
    </row>
    <row r="72" spans="1:20">
      <c r="A72" s="341" t="s">
        <v>177</v>
      </c>
      <c r="B72" s="377" t="s">
        <v>411</v>
      </c>
      <c r="C72" s="377" t="s">
        <v>411</v>
      </c>
      <c r="D72" s="378">
        <v>60300</v>
      </c>
      <c r="E72" s="377" t="s">
        <v>411</v>
      </c>
      <c r="F72" s="377" t="s">
        <v>411</v>
      </c>
      <c r="G72" s="377" t="s">
        <v>411</v>
      </c>
      <c r="H72" s="377" t="s">
        <v>411</v>
      </c>
      <c r="I72" s="378">
        <v>35000</v>
      </c>
      <c r="J72" s="378">
        <v>95300</v>
      </c>
      <c r="K72" s="377" t="s">
        <v>411</v>
      </c>
      <c r="L72" s="377" t="s">
        <v>411</v>
      </c>
      <c r="M72" s="378">
        <v>55933.599999999999</v>
      </c>
      <c r="N72" s="377" t="s">
        <v>411</v>
      </c>
      <c r="O72" s="377" t="s">
        <v>411</v>
      </c>
      <c r="P72" s="377" t="s">
        <v>411</v>
      </c>
      <c r="Q72" s="377" t="s">
        <v>411</v>
      </c>
      <c r="R72" s="378">
        <v>35000</v>
      </c>
      <c r="S72" s="378">
        <v>90933.6</v>
      </c>
      <c r="T72" s="379">
        <v>0.95420000000000005</v>
      </c>
    </row>
    <row r="73" spans="1:20">
      <c r="A73" s="341" t="s">
        <v>194</v>
      </c>
      <c r="B73" s="292" t="s">
        <v>411</v>
      </c>
      <c r="C73" s="292" t="s">
        <v>411</v>
      </c>
      <c r="D73" s="293">
        <v>4285354</v>
      </c>
      <c r="E73" s="292" t="s">
        <v>411</v>
      </c>
      <c r="F73" s="293">
        <v>58010</v>
      </c>
      <c r="G73" s="292" t="s">
        <v>411</v>
      </c>
      <c r="H73" s="292" t="s">
        <v>411</v>
      </c>
      <c r="I73" s="292" t="s">
        <v>411</v>
      </c>
      <c r="J73" s="293">
        <v>4343364</v>
      </c>
      <c r="K73" s="292" t="s">
        <v>411</v>
      </c>
      <c r="L73" s="292" t="s">
        <v>411</v>
      </c>
      <c r="M73" s="293">
        <v>2966070</v>
      </c>
      <c r="N73" s="292" t="s">
        <v>411</v>
      </c>
      <c r="O73" s="293">
        <v>58010</v>
      </c>
      <c r="P73" s="292" t="s">
        <v>411</v>
      </c>
      <c r="Q73" s="292" t="s">
        <v>411</v>
      </c>
      <c r="R73" s="292" t="s">
        <v>411</v>
      </c>
      <c r="S73" s="293">
        <v>3024080</v>
      </c>
      <c r="T73" s="294">
        <v>0.69630000000000003</v>
      </c>
    </row>
    <row r="74" spans="1:20">
      <c r="A74" s="341" t="s">
        <v>178</v>
      </c>
      <c r="B74" s="288" t="s">
        <v>411</v>
      </c>
      <c r="C74" s="288" t="s">
        <v>411</v>
      </c>
      <c r="D74" s="289">
        <v>49600</v>
      </c>
      <c r="E74" s="288" t="s">
        <v>411</v>
      </c>
      <c r="F74" s="289">
        <v>71900</v>
      </c>
      <c r="G74" s="288" t="s">
        <v>411</v>
      </c>
      <c r="H74" s="288" t="s">
        <v>411</v>
      </c>
      <c r="I74" s="288" t="s">
        <v>411</v>
      </c>
      <c r="J74" s="289">
        <v>121500</v>
      </c>
      <c r="K74" s="288" t="s">
        <v>411</v>
      </c>
      <c r="L74" s="288" t="s">
        <v>411</v>
      </c>
      <c r="M74" s="289">
        <v>35291.300000000003</v>
      </c>
      <c r="N74" s="288" t="s">
        <v>411</v>
      </c>
      <c r="O74" s="289">
        <v>37100</v>
      </c>
      <c r="P74" s="288" t="s">
        <v>411</v>
      </c>
      <c r="Q74" s="288" t="s">
        <v>411</v>
      </c>
      <c r="R74" s="288" t="s">
        <v>411</v>
      </c>
      <c r="S74" s="289">
        <v>72391.3</v>
      </c>
      <c r="T74" s="290">
        <v>0.5958</v>
      </c>
    </row>
    <row r="75" spans="1:20">
      <c r="A75" s="341" t="s">
        <v>179</v>
      </c>
      <c r="B75" s="292" t="s">
        <v>411</v>
      </c>
      <c r="C75" s="292" t="s">
        <v>411</v>
      </c>
      <c r="D75" s="293">
        <v>60200</v>
      </c>
      <c r="E75" s="293">
        <v>7200</v>
      </c>
      <c r="F75" s="293">
        <v>72000</v>
      </c>
      <c r="G75" s="292" t="s">
        <v>411</v>
      </c>
      <c r="H75" s="292" t="s">
        <v>411</v>
      </c>
      <c r="I75" s="293">
        <v>20000</v>
      </c>
      <c r="J75" s="293">
        <v>159400</v>
      </c>
      <c r="K75" s="292" t="s">
        <v>411</v>
      </c>
      <c r="L75" s="292" t="s">
        <v>411</v>
      </c>
      <c r="M75" s="293">
        <v>55349.3</v>
      </c>
      <c r="N75" s="293">
        <v>5296.5</v>
      </c>
      <c r="O75" s="293">
        <v>67100</v>
      </c>
      <c r="P75" s="292" t="s">
        <v>411</v>
      </c>
      <c r="Q75" s="292" t="s">
        <v>411</v>
      </c>
      <c r="R75" s="293">
        <v>10532</v>
      </c>
      <c r="S75" s="293">
        <v>138277.79999999999</v>
      </c>
      <c r="T75" s="294">
        <v>0.86750000000000005</v>
      </c>
    </row>
    <row r="76" spans="1:20">
      <c r="A76" s="341" t="s">
        <v>180</v>
      </c>
      <c r="B76" s="288" t="s">
        <v>411</v>
      </c>
      <c r="C76" s="288" t="s">
        <v>411</v>
      </c>
      <c r="D76" s="289">
        <v>75400</v>
      </c>
      <c r="E76" s="289">
        <v>7200</v>
      </c>
      <c r="F76" s="289">
        <v>72500</v>
      </c>
      <c r="G76" s="288" t="s">
        <v>411</v>
      </c>
      <c r="H76" s="288" t="s">
        <v>411</v>
      </c>
      <c r="I76" s="288" t="s">
        <v>411</v>
      </c>
      <c r="J76" s="289">
        <v>155100</v>
      </c>
      <c r="K76" s="288" t="s">
        <v>411</v>
      </c>
      <c r="L76" s="288" t="s">
        <v>411</v>
      </c>
      <c r="M76" s="289">
        <v>66399</v>
      </c>
      <c r="N76" s="289">
        <v>5884.35</v>
      </c>
      <c r="O76" s="289">
        <v>72500</v>
      </c>
      <c r="P76" s="288" t="s">
        <v>411</v>
      </c>
      <c r="Q76" s="288" t="s">
        <v>411</v>
      </c>
      <c r="R76" s="288" t="s">
        <v>411</v>
      </c>
      <c r="S76" s="289">
        <v>144783.35</v>
      </c>
      <c r="T76" s="290">
        <v>0.9335</v>
      </c>
    </row>
    <row r="77" spans="1:20">
      <c r="A77" s="341" t="s">
        <v>181</v>
      </c>
      <c r="B77" s="292" t="s">
        <v>411</v>
      </c>
      <c r="C77" s="292" t="s">
        <v>411</v>
      </c>
      <c r="D77" s="293">
        <v>265000</v>
      </c>
      <c r="E77" s="292" t="s">
        <v>411</v>
      </c>
      <c r="F77" s="292" t="s">
        <v>411</v>
      </c>
      <c r="G77" s="292" t="s">
        <v>411</v>
      </c>
      <c r="H77" s="292" t="s">
        <v>411</v>
      </c>
      <c r="I77" s="292" t="s">
        <v>411</v>
      </c>
      <c r="J77" s="293">
        <v>265000</v>
      </c>
      <c r="K77" s="292" t="s">
        <v>411</v>
      </c>
      <c r="L77" s="292" t="s">
        <v>411</v>
      </c>
      <c r="M77" s="293">
        <v>197244</v>
      </c>
      <c r="N77" s="292" t="s">
        <v>411</v>
      </c>
      <c r="O77" s="292" t="s">
        <v>411</v>
      </c>
      <c r="P77" s="292" t="s">
        <v>411</v>
      </c>
      <c r="Q77" s="292" t="s">
        <v>411</v>
      </c>
      <c r="R77" s="292" t="s">
        <v>411</v>
      </c>
      <c r="S77" s="293">
        <v>197244</v>
      </c>
      <c r="T77" s="294">
        <v>0.74429999999999996</v>
      </c>
    </row>
    <row r="78" spans="1:20">
      <c r="A78" s="341" t="s">
        <v>182</v>
      </c>
      <c r="B78" s="288" t="s">
        <v>411</v>
      </c>
      <c r="C78" s="288" t="s">
        <v>411</v>
      </c>
      <c r="D78" s="289">
        <v>74000</v>
      </c>
      <c r="E78" s="288" t="s">
        <v>411</v>
      </c>
      <c r="F78" s="289">
        <v>29500</v>
      </c>
      <c r="G78" s="288" t="s">
        <v>411</v>
      </c>
      <c r="H78" s="288" t="s">
        <v>411</v>
      </c>
      <c r="I78" s="288" t="s">
        <v>411</v>
      </c>
      <c r="J78" s="289">
        <v>103500</v>
      </c>
      <c r="K78" s="288" t="s">
        <v>411</v>
      </c>
      <c r="L78" s="288" t="s">
        <v>411</v>
      </c>
      <c r="M78" s="289">
        <v>73745</v>
      </c>
      <c r="N78" s="288" t="s">
        <v>411</v>
      </c>
      <c r="O78" s="289">
        <v>28980</v>
      </c>
      <c r="P78" s="288" t="s">
        <v>411</v>
      </c>
      <c r="Q78" s="288" t="s">
        <v>411</v>
      </c>
      <c r="R78" s="288" t="s">
        <v>411</v>
      </c>
      <c r="S78" s="289">
        <v>102725</v>
      </c>
      <c r="T78" s="290">
        <v>0.99250000000000005</v>
      </c>
    </row>
    <row r="79" spans="1:20">
      <c r="A79" s="341" t="s">
        <v>195</v>
      </c>
      <c r="B79" s="292" t="s">
        <v>411</v>
      </c>
      <c r="C79" s="292" t="s">
        <v>411</v>
      </c>
      <c r="D79" s="293">
        <v>100000</v>
      </c>
      <c r="E79" s="292" t="s">
        <v>411</v>
      </c>
      <c r="F79" s="292" t="s">
        <v>411</v>
      </c>
      <c r="G79" s="292" t="s">
        <v>411</v>
      </c>
      <c r="H79" s="292" t="s">
        <v>411</v>
      </c>
      <c r="I79" s="292" t="s">
        <v>411</v>
      </c>
      <c r="J79" s="293">
        <v>100000</v>
      </c>
      <c r="K79" s="292" t="s">
        <v>411</v>
      </c>
      <c r="L79" s="292" t="s">
        <v>411</v>
      </c>
      <c r="M79" s="293">
        <v>100000</v>
      </c>
      <c r="N79" s="292" t="s">
        <v>411</v>
      </c>
      <c r="O79" s="292" t="s">
        <v>411</v>
      </c>
      <c r="P79" s="292" t="s">
        <v>411</v>
      </c>
      <c r="Q79" s="292" t="s">
        <v>411</v>
      </c>
      <c r="R79" s="292" t="s">
        <v>411</v>
      </c>
      <c r="S79" s="293">
        <v>100000</v>
      </c>
      <c r="T79" s="294">
        <v>1</v>
      </c>
    </row>
    <row r="80" spans="1:20">
      <c r="A80" s="341" t="s">
        <v>183</v>
      </c>
      <c r="B80" s="288" t="s">
        <v>411</v>
      </c>
      <c r="C80" s="288" t="s">
        <v>411</v>
      </c>
      <c r="D80" s="288" t="s">
        <v>411</v>
      </c>
      <c r="E80" s="288" t="s">
        <v>411</v>
      </c>
      <c r="F80" s="289">
        <v>48900</v>
      </c>
      <c r="G80" s="289">
        <v>39600</v>
      </c>
      <c r="H80" s="288" t="s">
        <v>411</v>
      </c>
      <c r="I80" s="288" t="s">
        <v>411</v>
      </c>
      <c r="J80" s="289">
        <v>88500</v>
      </c>
      <c r="K80" s="288" t="s">
        <v>411</v>
      </c>
      <c r="L80" s="288" t="s">
        <v>411</v>
      </c>
      <c r="M80" s="288" t="s">
        <v>411</v>
      </c>
      <c r="N80" s="288" t="s">
        <v>411</v>
      </c>
      <c r="O80" s="289">
        <v>48200</v>
      </c>
      <c r="P80" s="289">
        <v>39600</v>
      </c>
      <c r="Q80" s="288" t="s">
        <v>411</v>
      </c>
      <c r="R80" s="288" t="s">
        <v>411</v>
      </c>
      <c r="S80" s="289">
        <v>87800</v>
      </c>
      <c r="T80" s="290">
        <v>0.99209999999999998</v>
      </c>
    </row>
    <row r="81" spans="1:20">
      <c r="A81" s="341" t="s">
        <v>266</v>
      </c>
      <c r="B81" s="292" t="s">
        <v>411</v>
      </c>
      <c r="C81" s="292" t="s">
        <v>411</v>
      </c>
      <c r="D81" s="293">
        <v>2543941.5</v>
      </c>
      <c r="E81" s="292" t="s">
        <v>411</v>
      </c>
      <c r="F81" s="293">
        <v>672152</v>
      </c>
      <c r="G81" s="293">
        <v>3288020</v>
      </c>
      <c r="H81" s="292" t="s">
        <v>411</v>
      </c>
      <c r="I81" s="293">
        <v>1858989</v>
      </c>
      <c r="J81" s="293">
        <v>8363102.5</v>
      </c>
      <c r="K81" s="292" t="s">
        <v>411</v>
      </c>
      <c r="L81" s="292" t="s">
        <v>411</v>
      </c>
      <c r="M81" s="293">
        <v>2540961.5</v>
      </c>
      <c r="N81" s="292" t="s">
        <v>411</v>
      </c>
      <c r="O81" s="293">
        <v>64660</v>
      </c>
      <c r="P81" s="293">
        <v>3278820</v>
      </c>
      <c r="Q81" s="292" t="s">
        <v>411</v>
      </c>
      <c r="R81" s="293">
        <v>1561879</v>
      </c>
      <c r="S81" s="293">
        <v>7446320.5</v>
      </c>
      <c r="T81" s="294">
        <v>0.89039999999999997</v>
      </c>
    </row>
    <row r="82" spans="1:20">
      <c r="A82" s="341" t="s">
        <v>184</v>
      </c>
      <c r="B82" s="371" t="s">
        <v>411</v>
      </c>
      <c r="C82" s="371" t="s">
        <v>411</v>
      </c>
      <c r="D82" s="372">
        <v>40000</v>
      </c>
      <c r="E82" s="371" t="s">
        <v>411</v>
      </c>
      <c r="F82" s="371" t="s">
        <v>411</v>
      </c>
      <c r="G82" s="371" t="s">
        <v>411</v>
      </c>
      <c r="H82" s="371" t="s">
        <v>411</v>
      </c>
      <c r="I82" s="371" t="s">
        <v>411</v>
      </c>
      <c r="J82" s="372">
        <v>40000</v>
      </c>
      <c r="K82" s="371" t="s">
        <v>411</v>
      </c>
      <c r="L82" s="371" t="s">
        <v>411</v>
      </c>
      <c r="M82" s="372">
        <v>18525</v>
      </c>
      <c r="N82" s="371" t="s">
        <v>411</v>
      </c>
      <c r="O82" s="371" t="s">
        <v>411</v>
      </c>
      <c r="P82" s="371" t="s">
        <v>411</v>
      </c>
      <c r="Q82" s="371" t="s">
        <v>411</v>
      </c>
      <c r="R82" s="371" t="s">
        <v>411</v>
      </c>
      <c r="S82" s="372">
        <v>18525</v>
      </c>
      <c r="T82" s="373">
        <v>0.46310000000000001</v>
      </c>
    </row>
    <row r="83" spans="1:20" s="362" customFormat="1">
      <c r="A83" s="346" t="s">
        <v>444</v>
      </c>
      <c r="B83" s="363">
        <f>SUM(B72:B82)</f>
        <v>0</v>
      </c>
      <c r="C83" s="363">
        <f t="shared" ref="C83:S83" si="8">SUM(C72:C82)</f>
        <v>0</v>
      </c>
      <c r="D83" s="363">
        <f t="shared" si="8"/>
        <v>7553795.5</v>
      </c>
      <c r="E83" s="363">
        <f t="shared" si="8"/>
        <v>14400</v>
      </c>
      <c r="F83" s="363">
        <f t="shared" si="8"/>
        <v>1024962</v>
      </c>
      <c r="G83" s="363">
        <f t="shared" si="8"/>
        <v>3327620</v>
      </c>
      <c r="H83" s="363">
        <f t="shared" si="8"/>
        <v>0</v>
      </c>
      <c r="I83" s="363">
        <f t="shared" si="8"/>
        <v>1913989</v>
      </c>
      <c r="J83" s="363">
        <f t="shared" si="8"/>
        <v>13834766.5</v>
      </c>
      <c r="K83" s="363">
        <f t="shared" si="8"/>
        <v>0</v>
      </c>
      <c r="L83" s="363">
        <f t="shared" si="8"/>
        <v>0</v>
      </c>
      <c r="M83" s="363">
        <f t="shared" si="8"/>
        <v>6109518.6999999993</v>
      </c>
      <c r="N83" s="363">
        <f t="shared" si="8"/>
        <v>11180.85</v>
      </c>
      <c r="O83" s="363">
        <f t="shared" si="8"/>
        <v>376550</v>
      </c>
      <c r="P83" s="363">
        <f t="shared" si="8"/>
        <v>3318420</v>
      </c>
      <c r="Q83" s="363">
        <f t="shared" si="8"/>
        <v>0</v>
      </c>
      <c r="R83" s="363">
        <f t="shared" si="8"/>
        <v>1607411</v>
      </c>
      <c r="S83" s="363">
        <f t="shared" si="8"/>
        <v>11423080.550000001</v>
      </c>
      <c r="T83" s="361"/>
    </row>
    <row r="84" spans="1:20">
      <c r="A84" s="341" t="s">
        <v>185</v>
      </c>
      <c r="B84" s="368" t="s">
        <v>411</v>
      </c>
      <c r="C84" s="368" t="s">
        <v>411</v>
      </c>
      <c r="D84" s="369">
        <v>135300</v>
      </c>
      <c r="E84" s="368" t="s">
        <v>411</v>
      </c>
      <c r="F84" s="368" t="s">
        <v>411</v>
      </c>
      <c r="G84" s="368" t="s">
        <v>411</v>
      </c>
      <c r="H84" s="368" t="s">
        <v>411</v>
      </c>
      <c r="I84" s="369">
        <v>6000</v>
      </c>
      <c r="J84" s="369">
        <v>141300</v>
      </c>
      <c r="K84" s="368" t="s">
        <v>411</v>
      </c>
      <c r="L84" s="368" t="s">
        <v>411</v>
      </c>
      <c r="M84" s="369">
        <v>88514.35</v>
      </c>
      <c r="N84" s="368" t="s">
        <v>411</v>
      </c>
      <c r="O84" s="368" t="s">
        <v>411</v>
      </c>
      <c r="P84" s="368" t="s">
        <v>411</v>
      </c>
      <c r="Q84" s="368" t="s">
        <v>411</v>
      </c>
      <c r="R84" s="368" t="s">
        <v>411</v>
      </c>
      <c r="S84" s="369">
        <v>88514.35</v>
      </c>
      <c r="T84" s="370">
        <v>0.62639999999999996</v>
      </c>
    </row>
    <row r="85" spans="1:20">
      <c r="A85" s="341" t="s">
        <v>186</v>
      </c>
      <c r="B85" s="288" t="s">
        <v>411</v>
      </c>
      <c r="C85" s="288" t="s">
        <v>411</v>
      </c>
      <c r="D85" s="289">
        <v>550000</v>
      </c>
      <c r="E85" s="288" t="s">
        <v>411</v>
      </c>
      <c r="F85" s="288" t="s">
        <v>411</v>
      </c>
      <c r="G85" s="288" t="s">
        <v>411</v>
      </c>
      <c r="H85" s="288" t="s">
        <v>411</v>
      </c>
      <c r="I85" s="288" t="s">
        <v>411</v>
      </c>
      <c r="J85" s="289">
        <v>550000</v>
      </c>
      <c r="K85" s="288" t="s">
        <v>411</v>
      </c>
      <c r="L85" s="288" t="s">
        <v>411</v>
      </c>
      <c r="M85" s="289">
        <v>459715</v>
      </c>
      <c r="N85" s="288" t="s">
        <v>411</v>
      </c>
      <c r="O85" s="288" t="s">
        <v>411</v>
      </c>
      <c r="P85" s="288" t="s">
        <v>411</v>
      </c>
      <c r="Q85" s="288" t="s">
        <v>411</v>
      </c>
      <c r="R85" s="288" t="s">
        <v>411</v>
      </c>
      <c r="S85" s="289">
        <v>459715</v>
      </c>
      <c r="T85" s="290">
        <v>0.83579999999999999</v>
      </c>
    </row>
    <row r="86" spans="1:20">
      <c r="A86" s="341" t="s">
        <v>196</v>
      </c>
      <c r="B86" s="374" t="s">
        <v>411</v>
      </c>
      <c r="C86" s="374" t="s">
        <v>411</v>
      </c>
      <c r="D86" s="375">
        <v>400000</v>
      </c>
      <c r="E86" s="374" t="s">
        <v>411</v>
      </c>
      <c r="F86" s="374" t="s">
        <v>411</v>
      </c>
      <c r="G86" s="374" t="s">
        <v>411</v>
      </c>
      <c r="H86" s="374" t="s">
        <v>411</v>
      </c>
      <c r="I86" s="374" t="s">
        <v>411</v>
      </c>
      <c r="J86" s="375">
        <v>400000</v>
      </c>
      <c r="K86" s="374" t="s">
        <v>411</v>
      </c>
      <c r="L86" s="374" t="s">
        <v>411</v>
      </c>
      <c r="M86" s="375">
        <v>347934</v>
      </c>
      <c r="N86" s="374" t="s">
        <v>411</v>
      </c>
      <c r="O86" s="374" t="s">
        <v>411</v>
      </c>
      <c r="P86" s="374" t="s">
        <v>411</v>
      </c>
      <c r="Q86" s="374" t="s">
        <v>411</v>
      </c>
      <c r="R86" s="374" t="s">
        <v>411</v>
      </c>
      <c r="S86" s="375">
        <v>347934</v>
      </c>
      <c r="T86" s="376">
        <v>0.86980000000000002</v>
      </c>
    </row>
    <row r="87" spans="1:20" s="362" customFormat="1">
      <c r="A87" s="346" t="s">
        <v>445</v>
      </c>
      <c r="B87" s="363">
        <f>SUM(B84:B86)</f>
        <v>0</v>
      </c>
      <c r="C87" s="363">
        <f t="shared" ref="C87:S87" si="9">SUM(C84:C86)</f>
        <v>0</v>
      </c>
      <c r="D87" s="363">
        <f t="shared" si="9"/>
        <v>1085300</v>
      </c>
      <c r="E87" s="363">
        <f t="shared" si="9"/>
        <v>0</v>
      </c>
      <c r="F87" s="363">
        <f t="shared" si="9"/>
        <v>0</v>
      </c>
      <c r="G87" s="363">
        <f t="shared" si="9"/>
        <v>0</v>
      </c>
      <c r="H87" s="363">
        <f t="shared" si="9"/>
        <v>0</v>
      </c>
      <c r="I87" s="363">
        <f t="shared" si="9"/>
        <v>6000</v>
      </c>
      <c r="J87" s="363">
        <f t="shared" si="9"/>
        <v>1091300</v>
      </c>
      <c r="K87" s="363">
        <f t="shared" si="9"/>
        <v>0</v>
      </c>
      <c r="L87" s="363">
        <f t="shared" si="9"/>
        <v>0</v>
      </c>
      <c r="M87" s="363">
        <f t="shared" si="9"/>
        <v>896163.35</v>
      </c>
      <c r="N87" s="363">
        <f t="shared" si="9"/>
        <v>0</v>
      </c>
      <c r="O87" s="363">
        <f t="shared" si="9"/>
        <v>0</v>
      </c>
      <c r="P87" s="363">
        <f t="shared" si="9"/>
        <v>0</v>
      </c>
      <c r="Q87" s="363">
        <f t="shared" si="9"/>
        <v>0</v>
      </c>
      <c r="R87" s="363">
        <f t="shared" si="9"/>
        <v>0</v>
      </c>
      <c r="S87" s="363">
        <f t="shared" si="9"/>
        <v>896163.35</v>
      </c>
      <c r="T87" s="365"/>
    </row>
    <row r="88" spans="1:20" s="362" customFormat="1">
      <c r="A88" s="346" t="s">
        <v>453</v>
      </c>
      <c r="B88" s="359" t="s">
        <v>411</v>
      </c>
      <c r="C88" s="359" t="s">
        <v>411</v>
      </c>
      <c r="D88" s="360">
        <v>1646000</v>
      </c>
      <c r="E88" s="359" t="s">
        <v>411</v>
      </c>
      <c r="F88" s="359" t="s">
        <v>411</v>
      </c>
      <c r="G88" s="359" t="s">
        <v>411</v>
      </c>
      <c r="H88" s="360">
        <v>100000</v>
      </c>
      <c r="I88" s="359" t="s">
        <v>411</v>
      </c>
      <c r="J88" s="360">
        <v>1746000</v>
      </c>
      <c r="K88" s="359" t="s">
        <v>411</v>
      </c>
      <c r="L88" s="359" t="s">
        <v>411</v>
      </c>
      <c r="M88" s="360">
        <v>696779.9</v>
      </c>
      <c r="N88" s="359" t="s">
        <v>411</v>
      </c>
      <c r="O88" s="359" t="s">
        <v>411</v>
      </c>
      <c r="P88" s="359" t="s">
        <v>411</v>
      </c>
      <c r="Q88" s="359" t="s">
        <v>411</v>
      </c>
      <c r="R88" s="359" t="s">
        <v>411</v>
      </c>
      <c r="S88" s="360">
        <v>696779.9</v>
      </c>
      <c r="T88" s="361">
        <v>0.39910000000000001</v>
      </c>
    </row>
    <row r="89" spans="1:20">
      <c r="A89" s="341" t="s">
        <v>187</v>
      </c>
      <c r="B89" s="377" t="s">
        <v>411</v>
      </c>
      <c r="C89" s="377" t="s">
        <v>411</v>
      </c>
      <c r="D89" s="378">
        <v>380300</v>
      </c>
      <c r="E89" s="378">
        <v>20000</v>
      </c>
      <c r="F89" s="377" t="s">
        <v>411</v>
      </c>
      <c r="G89" s="377" t="s">
        <v>411</v>
      </c>
      <c r="H89" s="378">
        <v>12000</v>
      </c>
      <c r="I89" s="378">
        <v>15200</v>
      </c>
      <c r="J89" s="378">
        <v>427500</v>
      </c>
      <c r="K89" s="377" t="s">
        <v>411</v>
      </c>
      <c r="L89" s="377" t="s">
        <v>411</v>
      </c>
      <c r="M89" s="378">
        <v>354077.4</v>
      </c>
      <c r="N89" s="378">
        <v>7941.54</v>
      </c>
      <c r="O89" s="377" t="s">
        <v>411</v>
      </c>
      <c r="P89" s="377" t="s">
        <v>411</v>
      </c>
      <c r="Q89" s="378">
        <v>10000</v>
      </c>
      <c r="R89" s="378">
        <v>15200</v>
      </c>
      <c r="S89" s="378">
        <v>387218.94</v>
      </c>
      <c r="T89" s="379">
        <v>0.90580000000000005</v>
      </c>
    </row>
    <row r="90" spans="1:20">
      <c r="A90" s="341" t="s">
        <v>267</v>
      </c>
      <c r="B90" s="292" t="s">
        <v>411</v>
      </c>
      <c r="C90" s="292" t="s">
        <v>411</v>
      </c>
      <c r="D90" s="293">
        <v>599980</v>
      </c>
      <c r="E90" s="292" t="s">
        <v>411</v>
      </c>
      <c r="F90" s="292" t="s">
        <v>411</v>
      </c>
      <c r="G90" s="292" t="s">
        <v>411</v>
      </c>
      <c r="H90" s="293">
        <v>68000</v>
      </c>
      <c r="I90" s="293">
        <v>304320</v>
      </c>
      <c r="J90" s="293">
        <v>972300</v>
      </c>
      <c r="K90" s="292" t="s">
        <v>411</v>
      </c>
      <c r="L90" s="292" t="s">
        <v>411</v>
      </c>
      <c r="M90" s="293">
        <v>579109</v>
      </c>
      <c r="N90" s="292" t="s">
        <v>411</v>
      </c>
      <c r="O90" s="292" t="s">
        <v>411</v>
      </c>
      <c r="P90" s="292" t="s">
        <v>411</v>
      </c>
      <c r="Q90" s="293">
        <v>68000</v>
      </c>
      <c r="R90" s="293">
        <v>300300</v>
      </c>
      <c r="S90" s="293">
        <v>947409</v>
      </c>
      <c r="T90" s="294">
        <v>0.97440000000000004</v>
      </c>
    </row>
    <row r="91" spans="1:20">
      <c r="A91" s="341" t="s">
        <v>268</v>
      </c>
      <c r="B91" s="371" t="s">
        <v>411</v>
      </c>
      <c r="C91" s="371" t="s">
        <v>411</v>
      </c>
      <c r="D91" s="372">
        <v>111900</v>
      </c>
      <c r="E91" s="371" t="s">
        <v>411</v>
      </c>
      <c r="F91" s="371" t="s">
        <v>411</v>
      </c>
      <c r="G91" s="371" t="s">
        <v>411</v>
      </c>
      <c r="H91" s="372">
        <v>24000</v>
      </c>
      <c r="I91" s="371" t="s">
        <v>411</v>
      </c>
      <c r="J91" s="372">
        <v>135900</v>
      </c>
      <c r="K91" s="371" t="s">
        <v>411</v>
      </c>
      <c r="L91" s="371" t="s">
        <v>411</v>
      </c>
      <c r="M91" s="372">
        <v>101729.2</v>
      </c>
      <c r="N91" s="371" t="s">
        <v>411</v>
      </c>
      <c r="O91" s="371" t="s">
        <v>411</v>
      </c>
      <c r="P91" s="371" t="s">
        <v>411</v>
      </c>
      <c r="Q91" s="372">
        <v>24000</v>
      </c>
      <c r="R91" s="371" t="s">
        <v>411</v>
      </c>
      <c r="S91" s="372">
        <v>125729.2</v>
      </c>
      <c r="T91" s="373">
        <v>0.92520000000000002</v>
      </c>
    </row>
    <row r="92" spans="1:20" s="362" customFormat="1">
      <c r="A92" s="346" t="s">
        <v>446</v>
      </c>
      <c r="B92" s="359">
        <f>SUM(B89:B91)</f>
        <v>0</v>
      </c>
      <c r="C92" s="359">
        <f t="shared" ref="C92:S92" si="10">SUM(C89:C91)</f>
        <v>0</v>
      </c>
      <c r="D92" s="359">
        <f t="shared" si="10"/>
        <v>1092180</v>
      </c>
      <c r="E92" s="359">
        <f t="shared" si="10"/>
        <v>20000</v>
      </c>
      <c r="F92" s="359">
        <f t="shared" si="10"/>
        <v>0</v>
      </c>
      <c r="G92" s="359">
        <f t="shared" si="10"/>
        <v>0</v>
      </c>
      <c r="H92" s="359">
        <f t="shared" si="10"/>
        <v>104000</v>
      </c>
      <c r="I92" s="359">
        <f t="shared" si="10"/>
        <v>319520</v>
      </c>
      <c r="J92" s="359">
        <f t="shared" si="10"/>
        <v>1535700</v>
      </c>
      <c r="K92" s="359">
        <f t="shared" si="10"/>
        <v>0</v>
      </c>
      <c r="L92" s="359">
        <f t="shared" si="10"/>
        <v>0</v>
      </c>
      <c r="M92" s="359">
        <f t="shared" si="10"/>
        <v>1034915.6</v>
      </c>
      <c r="N92" s="359">
        <f t="shared" si="10"/>
        <v>7941.54</v>
      </c>
      <c r="O92" s="359">
        <f t="shared" si="10"/>
        <v>0</v>
      </c>
      <c r="P92" s="359">
        <f t="shared" si="10"/>
        <v>0</v>
      </c>
      <c r="Q92" s="359">
        <f t="shared" si="10"/>
        <v>102000</v>
      </c>
      <c r="R92" s="359">
        <f t="shared" si="10"/>
        <v>315500</v>
      </c>
      <c r="S92" s="359">
        <f t="shared" si="10"/>
        <v>1460357.14</v>
      </c>
      <c r="T92" s="361"/>
    </row>
    <row r="93" spans="1:20">
      <c r="A93" s="341" t="s">
        <v>197</v>
      </c>
      <c r="B93" s="368" t="s">
        <v>411</v>
      </c>
      <c r="C93" s="368" t="s">
        <v>411</v>
      </c>
      <c r="D93" s="369">
        <v>1071000</v>
      </c>
      <c r="E93" s="368" t="s">
        <v>411</v>
      </c>
      <c r="F93" s="368" t="s">
        <v>411</v>
      </c>
      <c r="G93" s="368" t="s">
        <v>411</v>
      </c>
      <c r="H93" s="368" t="s">
        <v>411</v>
      </c>
      <c r="I93" s="368" t="s">
        <v>411</v>
      </c>
      <c r="J93" s="369">
        <v>1071000</v>
      </c>
      <c r="K93" s="368" t="s">
        <v>411</v>
      </c>
      <c r="L93" s="368" t="s">
        <v>411</v>
      </c>
      <c r="M93" s="369">
        <v>529206.56000000006</v>
      </c>
      <c r="N93" s="368" t="s">
        <v>411</v>
      </c>
      <c r="O93" s="368" t="s">
        <v>411</v>
      </c>
      <c r="P93" s="368" t="s">
        <v>411</v>
      </c>
      <c r="Q93" s="368" t="s">
        <v>411</v>
      </c>
      <c r="R93" s="368" t="s">
        <v>411</v>
      </c>
      <c r="S93" s="369">
        <v>529206.56000000006</v>
      </c>
      <c r="T93" s="370">
        <v>0.49409999999999998</v>
      </c>
    </row>
    <row r="94" spans="1:20">
      <c r="A94" s="341" t="s">
        <v>198</v>
      </c>
      <c r="B94" s="288" t="s">
        <v>411</v>
      </c>
      <c r="C94" s="288" t="s">
        <v>411</v>
      </c>
      <c r="D94" s="289">
        <v>1141270</v>
      </c>
      <c r="E94" s="288" t="s">
        <v>411</v>
      </c>
      <c r="F94" s="289">
        <v>26000</v>
      </c>
      <c r="G94" s="288" t="s">
        <v>411</v>
      </c>
      <c r="H94" s="288" t="s">
        <v>411</v>
      </c>
      <c r="I94" s="288" t="s">
        <v>411</v>
      </c>
      <c r="J94" s="289">
        <v>1167270</v>
      </c>
      <c r="K94" s="288" t="s">
        <v>411</v>
      </c>
      <c r="L94" s="288" t="s">
        <v>411</v>
      </c>
      <c r="M94" s="289">
        <v>502580.05</v>
      </c>
      <c r="N94" s="288" t="s">
        <v>411</v>
      </c>
      <c r="O94" s="289">
        <v>23990</v>
      </c>
      <c r="P94" s="288" t="s">
        <v>411</v>
      </c>
      <c r="Q94" s="288" t="s">
        <v>411</v>
      </c>
      <c r="R94" s="288" t="s">
        <v>411</v>
      </c>
      <c r="S94" s="289">
        <v>526570.05000000005</v>
      </c>
      <c r="T94" s="290">
        <v>0.4511</v>
      </c>
    </row>
    <row r="95" spans="1:20">
      <c r="A95" s="341" t="s">
        <v>199</v>
      </c>
      <c r="B95" s="292" t="s">
        <v>411</v>
      </c>
      <c r="C95" s="292" t="s">
        <v>411</v>
      </c>
      <c r="D95" s="293">
        <v>31500</v>
      </c>
      <c r="E95" s="292" t="s">
        <v>411</v>
      </c>
      <c r="F95" s="292" t="s">
        <v>411</v>
      </c>
      <c r="G95" s="292" t="s">
        <v>411</v>
      </c>
      <c r="H95" s="292" t="s">
        <v>411</v>
      </c>
      <c r="I95" s="292" t="s">
        <v>411</v>
      </c>
      <c r="J95" s="293">
        <v>31500</v>
      </c>
      <c r="K95" s="292" t="s">
        <v>411</v>
      </c>
      <c r="L95" s="292" t="s">
        <v>411</v>
      </c>
      <c r="M95" s="293">
        <v>5200</v>
      </c>
      <c r="N95" s="292" t="s">
        <v>411</v>
      </c>
      <c r="O95" s="292" t="s">
        <v>411</v>
      </c>
      <c r="P95" s="292" t="s">
        <v>411</v>
      </c>
      <c r="Q95" s="292" t="s">
        <v>411</v>
      </c>
      <c r="R95" s="292" t="s">
        <v>411</v>
      </c>
      <c r="S95" s="293">
        <v>5200</v>
      </c>
      <c r="T95" s="294">
        <v>0.1651</v>
      </c>
    </row>
    <row r="96" spans="1:20">
      <c r="A96" s="341" t="s">
        <v>200</v>
      </c>
      <c r="B96" s="288" t="s">
        <v>411</v>
      </c>
      <c r="C96" s="288" t="s">
        <v>411</v>
      </c>
      <c r="D96" s="289">
        <v>1175620</v>
      </c>
      <c r="E96" s="288" t="s">
        <v>411</v>
      </c>
      <c r="F96" s="288" t="s">
        <v>411</v>
      </c>
      <c r="G96" s="288" t="s">
        <v>411</v>
      </c>
      <c r="H96" s="289">
        <v>45000</v>
      </c>
      <c r="I96" s="288" t="s">
        <v>411</v>
      </c>
      <c r="J96" s="289">
        <v>1220620</v>
      </c>
      <c r="K96" s="288" t="s">
        <v>411</v>
      </c>
      <c r="L96" s="288" t="s">
        <v>411</v>
      </c>
      <c r="M96" s="289">
        <v>998406</v>
      </c>
      <c r="N96" s="288" t="s">
        <v>411</v>
      </c>
      <c r="O96" s="288" t="s">
        <v>411</v>
      </c>
      <c r="P96" s="288" t="s">
        <v>411</v>
      </c>
      <c r="Q96" s="289">
        <v>5000</v>
      </c>
      <c r="R96" s="288" t="s">
        <v>411</v>
      </c>
      <c r="S96" s="289">
        <v>1003406</v>
      </c>
      <c r="T96" s="290">
        <v>0.82199999999999995</v>
      </c>
    </row>
    <row r="97" spans="1:20">
      <c r="A97" s="341" t="s">
        <v>201</v>
      </c>
      <c r="B97" s="292" t="s">
        <v>411</v>
      </c>
      <c r="C97" s="292" t="s">
        <v>411</v>
      </c>
      <c r="D97" s="293">
        <v>1230020</v>
      </c>
      <c r="E97" s="292" t="s">
        <v>411</v>
      </c>
      <c r="F97" s="292" t="s">
        <v>411</v>
      </c>
      <c r="G97" s="292" t="s">
        <v>411</v>
      </c>
      <c r="H97" s="293">
        <v>331000</v>
      </c>
      <c r="I97" s="292" t="s">
        <v>411</v>
      </c>
      <c r="J97" s="293">
        <v>1561020</v>
      </c>
      <c r="K97" s="292" t="s">
        <v>411</v>
      </c>
      <c r="L97" s="292" t="s">
        <v>411</v>
      </c>
      <c r="M97" s="293">
        <v>1153312.25</v>
      </c>
      <c r="N97" s="292" t="s">
        <v>411</v>
      </c>
      <c r="O97" s="292" t="s">
        <v>411</v>
      </c>
      <c r="P97" s="292" t="s">
        <v>411</v>
      </c>
      <c r="Q97" s="293">
        <v>321666.2</v>
      </c>
      <c r="R97" s="292" t="s">
        <v>411</v>
      </c>
      <c r="S97" s="293">
        <v>1474978.45</v>
      </c>
      <c r="T97" s="294">
        <v>0.94489999999999996</v>
      </c>
    </row>
    <row r="98" spans="1:20">
      <c r="A98" s="341" t="s">
        <v>202</v>
      </c>
      <c r="B98" s="288" t="s">
        <v>411</v>
      </c>
      <c r="C98" s="288" t="s">
        <v>411</v>
      </c>
      <c r="D98" s="289">
        <v>191800</v>
      </c>
      <c r="E98" s="288" t="s">
        <v>411</v>
      </c>
      <c r="F98" s="288" t="s">
        <v>411</v>
      </c>
      <c r="G98" s="288" t="s">
        <v>411</v>
      </c>
      <c r="H98" s="289">
        <v>28000</v>
      </c>
      <c r="I98" s="288" t="s">
        <v>411</v>
      </c>
      <c r="J98" s="289">
        <v>219800</v>
      </c>
      <c r="K98" s="288" t="s">
        <v>411</v>
      </c>
      <c r="L98" s="288" t="s">
        <v>411</v>
      </c>
      <c r="M98" s="289">
        <v>111450</v>
      </c>
      <c r="N98" s="288" t="s">
        <v>411</v>
      </c>
      <c r="O98" s="288" t="s">
        <v>411</v>
      </c>
      <c r="P98" s="288" t="s">
        <v>411</v>
      </c>
      <c r="Q98" s="289">
        <v>11300</v>
      </c>
      <c r="R98" s="288" t="s">
        <v>411</v>
      </c>
      <c r="S98" s="289">
        <v>122750</v>
      </c>
      <c r="T98" s="290">
        <v>0.5585</v>
      </c>
    </row>
    <row r="99" spans="1:20">
      <c r="A99" s="341" t="s">
        <v>203</v>
      </c>
      <c r="B99" s="292" t="s">
        <v>411</v>
      </c>
      <c r="C99" s="292" t="s">
        <v>411</v>
      </c>
      <c r="D99" s="293">
        <v>3905047</v>
      </c>
      <c r="E99" s="292" t="s">
        <v>411</v>
      </c>
      <c r="F99" s="292" t="s">
        <v>411</v>
      </c>
      <c r="G99" s="292" t="s">
        <v>411</v>
      </c>
      <c r="H99" s="293">
        <v>10000</v>
      </c>
      <c r="I99" s="292" t="s">
        <v>411</v>
      </c>
      <c r="J99" s="293">
        <v>3915047</v>
      </c>
      <c r="K99" s="292" t="s">
        <v>411</v>
      </c>
      <c r="L99" s="292" t="s">
        <v>411</v>
      </c>
      <c r="M99" s="293">
        <v>3180667</v>
      </c>
      <c r="N99" s="292" t="s">
        <v>411</v>
      </c>
      <c r="O99" s="292" t="s">
        <v>411</v>
      </c>
      <c r="P99" s="292" t="s">
        <v>411</v>
      </c>
      <c r="Q99" s="293">
        <v>5000</v>
      </c>
      <c r="R99" s="292" t="s">
        <v>411</v>
      </c>
      <c r="S99" s="293">
        <v>3185667</v>
      </c>
      <c r="T99" s="294">
        <v>0.81369999999999998</v>
      </c>
    </row>
    <row r="100" spans="1:20">
      <c r="A100" s="341" t="s">
        <v>204</v>
      </c>
      <c r="B100" s="288" t="s">
        <v>411</v>
      </c>
      <c r="C100" s="288" t="s">
        <v>411</v>
      </c>
      <c r="D100" s="289">
        <v>1808700</v>
      </c>
      <c r="E100" s="288" t="s">
        <v>411</v>
      </c>
      <c r="F100" s="288" t="s">
        <v>411</v>
      </c>
      <c r="G100" s="288" t="s">
        <v>411</v>
      </c>
      <c r="H100" s="288" t="s">
        <v>411</v>
      </c>
      <c r="I100" s="288" t="s">
        <v>411</v>
      </c>
      <c r="J100" s="289">
        <v>1808700</v>
      </c>
      <c r="K100" s="288" t="s">
        <v>411</v>
      </c>
      <c r="L100" s="288" t="s">
        <v>411</v>
      </c>
      <c r="M100" s="289">
        <v>515115.98</v>
      </c>
      <c r="N100" s="288" t="s">
        <v>411</v>
      </c>
      <c r="O100" s="288" t="s">
        <v>411</v>
      </c>
      <c r="P100" s="288" t="s">
        <v>411</v>
      </c>
      <c r="Q100" s="288" t="s">
        <v>411</v>
      </c>
      <c r="R100" s="288" t="s">
        <v>411</v>
      </c>
      <c r="S100" s="289">
        <v>515115.98</v>
      </c>
      <c r="T100" s="290">
        <v>0.2848</v>
      </c>
    </row>
    <row r="101" spans="1:20">
      <c r="A101" s="341" t="s">
        <v>205</v>
      </c>
      <c r="B101" s="374" t="s">
        <v>411</v>
      </c>
      <c r="C101" s="374" t="s">
        <v>411</v>
      </c>
      <c r="D101" s="375">
        <v>170100</v>
      </c>
      <c r="E101" s="374" t="s">
        <v>411</v>
      </c>
      <c r="F101" s="374" t="s">
        <v>411</v>
      </c>
      <c r="G101" s="374" t="s">
        <v>411</v>
      </c>
      <c r="H101" s="374" t="s">
        <v>411</v>
      </c>
      <c r="I101" s="374" t="s">
        <v>411</v>
      </c>
      <c r="J101" s="375">
        <v>170100</v>
      </c>
      <c r="K101" s="374" t="s">
        <v>411</v>
      </c>
      <c r="L101" s="374" t="s">
        <v>411</v>
      </c>
      <c r="M101" s="375">
        <v>162583</v>
      </c>
      <c r="N101" s="374" t="s">
        <v>411</v>
      </c>
      <c r="O101" s="374" t="s">
        <v>411</v>
      </c>
      <c r="P101" s="374" t="s">
        <v>411</v>
      </c>
      <c r="Q101" s="374" t="s">
        <v>411</v>
      </c>
      <c r="R101" s="374" t="s">
        <v>411</v>
      </c>
      <c r="S101" s="375">
        <v>162583</v>
      </c>
      <c r="T101" s="376">
        <v>0.95579999999999998</v>
      </c>
    </row>
    <row r="102" spans="1:20" s="362" customFormat="1">
      <c r="A102" s="346" t="s">
        <v>454</v>
      </c>
      <c r="B102" s="363">
        <f>SUM(B93:B101)</f>
        <v>0</v>
      </c>
      <c r="C102" s="363">
        <f t="shared" ref="C102:S102" si="11">SUM(C93:C101)</f>
        <v>0</v>
      </c>
      <c r="D102" s="363">
        <f t="shared" si="11"/>
        <v>10725057</v>
      </c>
      <c r="E102" s="363">
        <f t="shared" si="11"/>
        <v>0</v>
      </c>
      <c r="F102" s="363">
        <f t="shared" si="11"/>
        <v>26000</v>
      </c>
      <c r="G102" s="363">
        <f t="shared" si="11"/>
        <v>0</v>
      </c>
      <c r="H102" s="363">
        <f t="shared" si="11"/>
        <v>414000</v>
      </c>
      <c r="I102" s="363">
        <f t="shared" si="11"/>
        <v>0</v>
      </c>
      <c r="J102" s="363">
        <f t="shared" si="11"/>
        <v>11165057</v>
      </c>
      <c r="K102" s="363">
        <f t="shared" si="11"/>
        <v>0</v>
      </c>
      <c r="L102" s="363">
        <f t="shared" si="11"/>
        <v>0</v>
      </c>
      <c r="M102" s="363">
        <f t="shared" si="11"/>
        <v>7158520.8399999999</v>
      </c>
      <c r="N102" s="363">
        <f t="shared" si="11"/>
        <v>0</v>
      </c>
      <c r="O102" s="363">
        <f t="shared" si="11"/>
        <v>23990</v>
      </c>
      <c r="P102" s="363">
        <f t="shared" si="11"/>
        <v>0</v>
      </c>
      <c r="Q102" s="363">
        <f t="shared" si="11"/>
        <v>342966.2</v>
      </c>
      <c r="R102" s="363">
        <f t="shared" si="11"/>
        <v>0</v>
      </c>
      <c r="S102" s="363">
        <f t="shared" si="11"/>
        <v>7525477.040000001</v>
      </c>
      <c r="T102" s="365"/>
    </row>
    <row r="103" spans="1:20" s="362" customFormat="1">
      <c r="A103" s="346" t="s">
        <v>455</v>
      </c>
      <c r="B103" s="359" t="s">
        <v>411</v>
      </c>
      <c r="C103" s="359" t="s">
        <v>411</v>
      </c>
      <c r="D103" s="360">
        <v>82500</v>
      </c>
      <c r="E103" s="359" t="s">
        <v>411</v>
      </c>
      <c r="F103" s="359" t="s">
        <v>411</v>
      </c>
      <c r="G103" s="359" t="s">
        <v>411</v>
      </c>
      <c r="H103" s="359" t="s">
        <v>411</v>
      </c>
      <c r="I103" s="359" t="s">
        <v>411</v>
      </c>
      <c r="J103" s="360">
        <v>82500</v>
      </c>
      <c r="K103" s="359" t="s">
        <v>411</v>
      </c>
      <c r="L103" s="359" t="s">
        <v>411</v>
      </c>
      <c r="M103" s="360">
        <v>51619</v>
      </c>
      <c r="N103" s="359" t="s">
        <v>411</v>
      </c>
      <c r="O103" s="359" t="s">
        <v>411</v>
      </c>
      <c r="P103" s="359" t="s">
        <v>411</v>
      </c>
      <c r="Q103" s="359" t="s">
        <v>411</v>
      </c>
      <c r="R103" s="359" t="s">
        <v>411</v>
      </c>
      <c r="S103" s="360">
        <v>51619</v>
      </c>
      <c r="T103" s="361">
        <v>0.62570000000000003</v>
      </c>
    </row>
    <row r="104" spans="1:20" s="345" customFormat="1">
      <c r="A104" s="346" t="s">
        <v>188</v>
      </c>
      <c r="B104" s="356" t="s">
        <v>411</v>
      </c>
      <c r="C104" s="356" t="s">
        <v>411</v>
      </c>
      <c r="D104" s="357">
        <v>49400</v>
      </c>
      <c r="E104" s="356" t="s">
        <v>411</v>
      </c>
      <c r="F104" s="356" t="s">
        <v>411</v>
      </c>
      <c r="G104" s="356" t="s">
        <v>411</v>
      </c>
      <c r="H104" s="356" t="s">
        <v>411</v>
      </c>
      <c r="I104" s="356" t="s">
        <v>411</v>
      </c>
      <c r="J104" s="357">
        <v>49400</v>
      </c>
      <c r="K104" s="356" t="s">
        <v>411</v>
      </c>
      <c r="L104" s="356" t="s">
        <v>411</v>
      </c>
      <c r="M104" s="357">
        <v>21100</v>
      </c>
      <c r="N104" s="356" t="s">
        <v>411</v>
      </c>
      <c r="O104" s="356" t="s">
        <v>411</v>
      </c>
      <c r="P104" s="356" t="s">
        <v>411</v>
      </c>
      <c r="Q104" s="356" t="s">
        <v>411</v>
      </c>
      <c r="R104" s="356" t="s">
        <v>411</v>
      </c>
      <c r="S104" s="357">
        <v>21100</v>
      </c>
      <c r="T104" s="358">
        <v>0.42709999999999998</v>
      </c>
    </row>
    <row r="105" spans="1:20">
      <c r="A105" s="341" t="s">
        <v>189</v>
      </c>
      <c r="B105" s="377" t="s">
        <v>411</v>
      </c>
      <c r="C105" s="377" t="s">
        <v>411</v>
      </c>
      <c r="D105" s="378">
        <v>498600</v>
      </c>
      <c r="E105" s="378">
        <v>22000</v>
      </c>
      <c r="F105" s="377" t="s">
        <v>411</v>
      </c>
      <c r="G105" s="377" t="s">
        <v>411</v>
      </c>
      <c r="H105" s="377" t="s">
        <v>411</v>
      </c>
      <c r="I105" s="378">
        <v>20000</v>
      </c>
      <c r="J105" s="378">
        <v>540600</v>
      </c>
      <c r="K105" s="377" t="s">
        <v>411</v>
      </c>
      <c r="L105" s="377" t="s">
        <v>411</v>
      </c>
      <c r="M105" s="378">
        <v>425052.5</v>
      </c>
      <c r="N105" s="377" t="s">
        <v>411</v>
      </c>
      <c r="O105" s="377" t="s">
        <v>411</v>
      </c>
      <c r="P105" s="377" t="s">
        <v>411</v>
      </c>
      <c r="Q105" s="377" t="s">
        <v>411</v>
      </c>
      <c r="R105" s="378">
        <v>20000</v>
      </c>
      <c r="S105" s="378">
        <v>445052.5</v>
      </c>
      <c r="T105" s="379">
        <v>0.82330000000000003</v>
      </c>
    </row>
    <row r="106" spans="1:20">
      <c r="A106" s="341" t="s">
        <v>433</v>
      </c>
      <c r="B106" s="288" t="s">
        <v>411</v>
      </c>
      <c r="C106" s="288" t="s">
        <v>411</v>
      </c>
      <c r="D106" s="289">
        <v>2197740</v>
      </c>
      <c r="E106" s="289">
        <v>16300</v>
      </c>
      <c r="F106" s="288" t="s">
        <v>411</v>
      </c>
      <c r="G106" s="288" t="s">
        <v>411</v>
      </c>
      <c r="H106" s="288" t="s">
        <v>411</v>
      </c>
      <c r="I106" s="288" t="s">
        <v>411</v>
      </c>
      <c r="J106" s="289">
        <v>2214040</v>
      </c>
      <c r="K106" s="288" t="s">
        <v>411</v>
      </c>
      <c r="L106" s="288" t="s">
        <v>411</v>
      </c>
      <c r="M106" s="289">
        <v>1629903.1</v>
      </c>
      <c r="N106" s="289">
        <v>6510</v>
      </c>
      <c r="O106" s="288" t="s">
        <v>411</v>
      </c>
      <c r="P106" s="288" t="s">
        <v>411</v>
      </c>
      <c r="Q106" s="288" t="s">
        <v>411</v>
      </c>
      <c r="R106" s="288" t="s">
        <v>411</v>
      </c>
      <c r="S106" s="289">
        <v>1636413.1</v>
      </c>
      <c r="T106" s="290">
        <v>0.73909999999999998</v>
      </c>
    </row>
    <row r="107" spans="1:20">
      <c r="A107" s="341" t="s">
        <v>190</v>
      </c>
      <c r="B107" s="292" t="s">
        <v>411</v>
      </c>
      <c r="C107" s="292" t="s">
        <v>411</v>
      </c>
      <c r="D107" s="292" t="s">
        <v>411</v>
      </c>
      <c r="E107" s="292" t="s">
        <v>411</v>
      </c>
      <c r="F107" s="292" t="s">
        <v>411</v>
      </c>
      <c r="G107" s="292" t="s">
        <v>411</v>
      </c>
      <c r="H107" s="293">
        <v>60000</v>
      </c>
      <c r="I107" s="293">
        <v>190000</v>
      </c>
      <c r="J107" s="293">
        <v>250000</v>
      </c>
      <c r="K107" s="292" t="s">
        <v>411</v>
      </c>
      <c r="L107" s="292" t="s">
        <v>411</v>
      </c>
      <c r="M107" s="292" t="s">
        <v>411</v>
      </c>
      <c r="N107" s="292" t="s">
        <v>411</v>
      </c>
      <c r="O107" s="292" t="s">
        <v>411</v>
      </c>
      <c r="P107" s="292" t="s">
        <v>411</v>
      </c>
      <c r="Q107" s="293">
        <v>57000</v>
      </c>
      <c r="R107" s="293">
        <v>155405.20000000001</v>
      </c>
      <c r="S107" s="293">
        <v>212405.2</v>
      </c>
      <c r="T107" s="294">
        <v>0.84960000000000002</v>
      </c>
    </row>
    <row r="108" spans="1:20" s="92" customFormat="1">
      <c r="A108" s="383" t="s">
        <v>456</v>
      </c>
      <c r="B108" s="384">
        <f>SUM(B105:B107)</f>
        <v>0</v>
      </c>
      <c r="C108" s="384">
        <f t="shared" ref="C108:S108" si="12">SUM(C105:C107)</f>
        <v>0</v>
      </c>
      <c r="D108" s="384">
        <f t="shared" si="12"/>
        <v>2696340</v>
      </c>
      <c r="E108" s="384">
        <f t="shared" si="12"/>
        <v>38300</v>
      </c>
      <c r="F108" s="384">
        <f t="shared" si="12"/>
        <v>0</v>
      </c>
      <c r="G108" s="384">
        <f t="shared" si="12"/>
        <v>0</v>
      </c>
      <c r="H108" s="384">
        <f t="shared" si="12"/>
        <v>60000</v>
      </c>
      <c r="I108" s="384">
        <f t="shared" si="12"/>
        <v>210000</v>
      </c>
      <c r="J108" s="384">
        <f t="shared" si="12"/>
        <v>3004640</v>
      </c>
      <c r="K108" s="384">
        <f t="shared" si="12"/>
        <v>0</v>
      </c>
      <c r="L108" s="384">
        <f t="shared" si="12"/>
        <v>0</v>
      </c>
      <c r="M108" s="384">
        <f t="shared" si="12"/>
        <v>2054955.6</v>
      </c>
      <c r="N108" s="384">
        <f t="shared" si="12"/>
        <v>6510</v>
      </c>
      <c r="O108" s="384">
        <f t="shared" si="12"/>
        <v>0</v>
      </c>
      <c r="P108" s="384">
        <f t="shared" si="12"/>
        <v>0</v>
      </c>
      <c r="Q108" s="384">
        <f t="shared" si="12"/>
        <v>57000</v>
      </c>
      <c r="R108" s="384">
        <f t="shared" si="12"/>
        <v>175405.2</v>
      </c>
      <c r="S108" s="384">
        <f t="shared" si="12"/>
        <v>2293870.8000000003</v>
      </c>
      <c r="T108" s="385"/>
    </row>
    <row r="109" spans="1:20" s="362" customFormat="1" ht="18" customHeight="1">
      <c r="A109" s="346" t="s">
        <v>191</v>
      </c>
      <c r="B109" s="359" t="s">
        <v>411</v>
      </c>
      <c r="C109" s="359" t="s">
        <v>411</v>
      </c>
      <c r="D109" s="360">
        <v>27231163.510000002</v>
      </c>
      <c r="E109" s="360">
        <v>481500</v>
      </c>
      <c r="F109" s="360">
        <v>63300</v>
      </c>
      <c r="G109" s="360">
        <v>149520</v>
      </c>
      <c r="H109" s="360">
        <v>32496100</v>
      </c>
      <c r="I109" s="360">
        <v>4625803.46</v>
      </c>
      <c r="J109" s="360">
        <v>65047386.969999999</v>
      </c>
      <c r="K109" s="359" t="s">
        <v>411</v>
      </c>
      <c r="L109" s="359" t="s">
        <v>411</v>
      </c>
      <c r="M109" s="360">
        <v>25422861.719999999</v>
      </c>
      <c r="N109" s="360">
        <v>481276.21</v>
      </c>
      <c r="O109" s="360">
        <v>55415</v>
      </c>
      <c r="P109" s="360">
        <v>149520</v>
      </c>
      <c r="Q109" s="360">
        <v>22359223.190000001</v>
      </c>
      <c r="R109" s="360">
        <v>2886069.5</v>
      </c>
      <c r="S109" s="360">
        <v>51354365.619999997</v>
      </c>
      <c r="T109" s="361">
        <v>0.78949999999999998</v>
      </c>
    </row>
    <row r="110" spans="1:20" s="362" customFormat="1">
      <c r="A110" s="346" t="s">
        <v>192</v>
      </c>
      <c r="B110" s="363" t="s">
        <v>411</v>
      </c>
      <c r="C110" s="363" t="s">
        <v>411</v>
      </c>
      <c r="D110" s="364">
        <v>200000</v>
      </c>
      <c r="E110" s="363" t="s">
        <v>411</v>
      </c>
      <c r="F110" s="363" t="s">
        <v>411</v>
      </c>
      <c r="G110" s="363" t="s">
        <v>411</v>
      </c>
      <c r="H110" s="363" t="s">
        <v>411</v>
      </c>
      <c r="I110" s="363" t="s">
        <v>411</v>
      </c>
      <c r="J110" s="364">
        <v>200000</v>
      </c>
      <c r="K110" s="363" t="s">
        <v>411</v>
      </c>
      <c r="L110" s="363" t="s">
        <v>411</v>
      </c>
      <c r="M110" s="364">
        <v>169433</v>
      </c>
      <c r="N110" s="363" t="s">
        <v>411</v>
      </c>
      <c r="O110" s="363" t="s">
        <v>411</v>
      </c>
      <c r="P110" s="363" t="s">
        <v>411</v>
      </c>
      <c r="Q110" s="363" t="s">
        <v>411</v>
      </c>
      <c r="R110" s="363" t="s">
        <v>411</v>
      </c>
      <c r="S110" s="364">
        <v>169433</v>
      </c>
      <c r="T110" s="365">
        <v>0.84719999999999995</v>
      </c>
    </row>
    <row r="111" spans="1:20" s="362" customFormat="1">
      <c r="A111" s="346" t="s">
        <v>206</v>
      </c>
      <c r="B111" s="359" t="s">
        <v>411</v>
      </c>
      <c r="C111" s="359" t="s">
        <v>411</v>
      </c>
      <c r="D111" s="360">
        <v>3000700</v>
      </c>
      <c r="E111" s="359" t="s">
        <v>411</v>
      </c>
      <c r="F111" s="359" t="s">
        <v>411</v>
      </c>
      <c r="G111" s="359" t="s">
        <v>411</v>
      </c>
      <c r="H111" s="359" t="s">
        <v>411</v>
      </c>
      <c r="I111" s="359" t="s">
        <v>411</v>
      </c>
      <c r="J111" s="360">
        <v>3000700</v>
      </c>
      <c r="K111" s="359" t="s">
        <v>411</v>
      </c>
      <c r="L111" s="359" t="s">
        <v>411</v>
      </c>
      <c r="M111" s="360">
        <v>1220036</v>
      </c>
      <c r="N111" s="359" t="s">
        <v>411</v>
      </c>
      <c r="O111" s="359" t="s">
        <v>411</v>
      </c>
      <c r="P111" s="359" t="s">
        <v>411</v>
      </c>
      <c r="Q111" s="359" t="s">
        <v>411</v>
      </c>
      <c r="R111" s="359" t="s">
        <v>411</v>
      </c>
      <c r="S111" s="360">
        <v>1220036</v>
      </c>
      <c r="T111" s="361">
        <v>0.40660000000000002</v>
      </c>
    </row>
    <row r="112" spans="1:20">
      <c r="A112" s="386" t="s">
        <v>4</v>
      </c>
      <c r="B112" s="387" t="s">
        <v>411</v>
      </c>
      <c r="C112" s="387" t="s">
        <v>411</v>
      </c>
      <c r="D112" s="388">
        <v>62993955.210000001</v>
      </c>
      <c r="E112" s="388">
        <v>655600</v>
      </c>
      <c r="F112" s="388">
        <v>1438292</v>
      </c>
      <c r="G112" s="388">
        <v>3477140</v>
      </c>
      <c r="H112" s="388">
        <v>34944100</v>
      </c>
      <c r="I112" s="388">
        <v>7658019.79</v>
      </c>
      <c r="J112" s="388">
        <v>111167107</v>
      </c>
      <c r="K112" s="387" t="s">
        <v>411</v>
      </c>
      <c r="L112" s="387" t="s">
        <v>411</v>
      </c>
      <c r="M112" s="388">
        <v>51983680.280000001</v>
      </c>
      <c r="N112" s="388">
        <v>595972.34</v>
      </c>
      <c r="O112" s="388">
        <v>770885</v>
      </c>
      <c r="P112" s="388">
        <v>3467940</v>
      </c>
      <c r="Q112" s="388">
        <v>24400901.390000001</v>
      </c>
      <c r="R112" s="388">
        <v>5533323.0300000003</v>
      </c>
      <c r="S112" s="388">
        <v>86752702.040000007</v>
      </c>
      <c r="T112" s="389">
        <v>0.78039999999999998</v>
      </c>
    </row>
    <row r="115" spans="14:16">
      <c r="N115" s="91">
        <f>SUM(M112:N112)</f>
        <v>52579652.620000005</v>
      </c>
      <c r="P115" s="91">
        <f>SUM(O112:P112)</f>
        <v>4238825</v>
      </c>
    </row>
  </sheetData>
  <mergeCells count="10">
    <mergeCell ref="B1:J1"/>
    <mergeCell ref="K1:S1"/>
    <mergeCell ref="B2:C2"/>
    <mergeCell ref="D2:E2"/>
    <mergeCell ref="F2:G2"/>
    <mergeCell ref="J2:J3"/>
    <mergeCell ref="K2:L2"/>
    <mergeCell ref="M2:N2"/>
    <mergeCell ref="O2:P2"/>
    <mergeCell ref="S2:S3"/>
  </mergeCells>
  <pageMargins left="0.70866141732283472" right="0.70866141732283472" top="0.74803149606299213" bottom="0.74803149606299213" header="0.31496062992125984" footer="0.31496062992125984"/>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4"/>
  <sheetViews>
    <sheetView zoomScale="90" zoomScaleNormal="90" workbookViewId="0">
      <pane xSplit="1" ySplit="3" topLeftCell="K4" activePane="bottomRight" state="frozen"/>
      <selection pane="topRight" activeCell="B1" sqref="B1"/>
      <selection pane="bottomLeft" activeCell="A4" sqref="A4"/>
      <selection pane="bottomRight" activeCell="S18" sqref="S18"/>
    </sheetView>
  </sheetViews>
  <sheetFormatPr defaultRowHeight="14.25"/>
  <cols>
    <col min="1" max="1" width="63.875" bestFit="1" customWidth="1"/>
    <col min="2" max="2" width="9.5" bestFit="1" customWidth="1"/>
    <col min="3" max="3" width="8.75" bestFit="1" customWidth="1"/>
    <col min="4" max="6" width="9.5" bestFit="1" customWidth="1"/>
    <col min="7" max="8" width="10.25" bestFit="1" customWidth="1"/>
    <col min="9" max="9" width="9.5" bestFit="1" customWidth="1"/>
    <col min="10" max="10" width="13.875" bestFit="1" customWidth="1"/>
    <col min="11" max="11" width="11.5" bestFit="1" customWidth="1"/>
    <col min="12" max="12" width="9.5" bestFit="1" customWidth="1"/>
    <col min="13" max="16" width="11.5" bestFit="1" customWidth="1"/>
    <col min="17" max="17" width="12.5" bestFit="1" customWidth="1"/>
    <col min="18" max="18" width="11.5" bestFit="1" customWidth="1"/>
    <col min="19" max="19" width="13.875" bestFit="1" customWidth="1"/>
    <col min="20" max="20" width="5.375" bestFit="1" customWidth="1"/>
  </cols>
  <sheetData>
    <row r="1" spans="1:20" ht="14.25" customHeight="1">
      <c r="A1" s="335"/>
      <c r="B1" s="535" t="s">
        <v>100</v>
      </c>
      <c r="C1" s="536"/>
      <c r="D1" s="536"/>
      <c r="E1" s="536"/>
      <c r="F1" s="536"/>
      <c r="G1" s="536"/>
      <c r="H1" s="536"/>
      <c r="I1" s="536"/>
      <c r="J1" s="537"/>
      <c r="K1" s="535" t="s">
        <v>101</v>
      </c>
      <c r="L1" s="536"/>
      <c r="M1" s="536"/>
      <c r="N1" s="536"/>
      <c r="O1" s="536"/>
      <c r="P1" s="536"/>
      <c r="Q1" s="536"/>
      <c r="R1" s="536"/>
      <c r="S1" s="537"/>
      <c r="T1" s="381" t="s">
        <v>102</v>
      </c>
    </row>
    <row r="2" spans="1:20">
      <c r="A2" s="93"/>
      <c r="B2" s="535" t="s">
        <v>10</v>
      </c>
      <c r="C2" s="537"/>
      <c r="D2" s="535" t="s">
        <v>13</v>
      </c>
      <c r="E2" s="537"/>
      <c r="F2" s="535" t="s">
        <v>14</v>
      </c>
      <c r="G2" s="537"/>
      <c r="H2" s="337" t="s">
        <v>15</v>
      </c>
      <c r="I2" s="337" t="s">
        <v>16</v>
      </c>
      <c r="J2" s="538" t="s">
        <v>4</v>
      </c>
      <c r="K2" s="535" t="s">
        <v>10</v>
      </c>
      <c r="L2" s="537"/>
      <c r="M2" s="535" t="s">
        <v>13</v>
      </c>
      <c r="N2" s="537"/>
      <c r="O2" s="535" t="s">
        <v>14</v>
      </c>
      <c r="P2" s="537"/>
      <c r="Q2" s="337" t="s">
        <v>15</v>
      </c>
      <c r="R2" s="337" t="s">
        <v>16</v>
      </c>
      <c r="S2" s="538" t="s">
        <v>4</v>
      </c>
      <c r="T2" s="338" t="s">
        <v>99</v>
      </c>
    </row>
    <row r="3" spans="1:20" ht="19.5">
      <c r="A3" s="382" t="s">
        <v>457</v>
      </c>
      <c r="B3" s="337" t="s">
        <v>103</v>
      </c>
      <c r="C3" s="337" t="s">
        <v>104</v>
      </c>
      <c r="D3" s="337" t="s">
        <v>105</v>
      </c>
      <c r="E3" s="337" t="s">
        <v>106</v>
      </c>
      <c r="F3" s="337" t="s">
        <v>107</v>
      </c>
      <c r="G3" s="337" t="s">
        <v>108</v>
      </c>
      <c r="H3" s="337" t="s">
        <v>109</v>
      </c>
      <c r="I3" s="337" t="s">
        <v>110</v>
      </c>
      <c r="J3" s="539"/>
      <c r="K3" s="337" t="s">
        <v>103</v>
      </c>
      <c r="L3" s="337" t="s">
        <v>104</v>
      </c>
      <c r="M3" s="337" t="s">
        <v>105</v>
      </c>
      <c r="N3" s="337" t="s">
        <v>106</v>
      </c>
      <c r="O3" s="337" t="s">
        <v>107</v>
      </c>
      <c r="P3" s="337" t="s">
        <v>108</v>
      </c>
      <c r="Q3" s="337" t="s">
        <v>109</v>
      </c>
      <c r="R3" s="337" t="s">
        <v>110</v>
      </c>
      <c r="S3" s="539"/>
      <c r="T3" s="340"/>
    </row>
    <row r="4" spans="1:20">
      <c r="A4" s="291" t="s">
        <v>356</v>
      </c>
      <c r="B4" s="292" t="s">
        <v>411</v>
      </c>
      <c r="C4" s="292" t="s">
        <v>411</v>
      </c>
      <c r="D4" s="293">
        <v>267328</v>
      </c>
      <c r="E4" s="292" t="s">
        <v>411</v>
      </c>
      <c r="F4" s="292" t="s">
        <v>411</v>
      </c>
      <c r="G4" s="292" t="s">
        <v>411</v>
      </c>
      <c r="H4" s="292" t="s">
        <v>411</v>
      </c>
      <c r="I4" s="293">
        <v>8802590</v>
      </c>
      <c r="J4" s="293">
        <v>9069918</v>
      </c>
      <c r="K4" s="292" t="s">
        <v>411</v>
      </c>
      <c r="L4" s="292" t="s">
        <v>411</v>
      </c>
      <c r="M4" s="293">
        <v>251158</v>
      </c>
      <c r="N4" s="292" t="s">
        <v>411</v>
      </c>
      <c r="O4" s="292" t="s">
        <v>411</v>
      </c>
      <c r="P4" s="292" t="s">
        <v>411</v>
      </c>
      <c r="Q4" s="292" t="s">
        <v>411</v>
      </c>
      <c r="R4" s="293">
        <v>7995342.4199999999</v>
      </c>
      <c r="S4" s="293">
        <v>8246500.4199999999</v>
      </c>
      <c r="T4" s="294">
        <v>0.90920000000000001</v>
      </c>
    </row>
    <row r="5" spans="1:20" ht="28.5">
      <c r="A5" s="291" t="s">
        <v>207</v>
      </c>
      <c r="B5" s="293">
        <v>70606478.719999999</v>
      </c>
      <c r="C5" s="293">
        <v>1272347</v>
      </c>
      <c r="D5" s="293">
        <v>6798256.6500000004</v>
      </c>
      <c r="E5" s="292" t="s">
        <v>411</v>
      </c>
      <c r="F5" s="292" t="s">
        <v>411</v>
      </c>
      <c r="G5" s="292" t="s">
        <v>411</v>
      </c>
      <c r="H5" s="293">
        <v>184714787.34999999</v>
      </c>
      <c r="I5" s="292" t="s">
        <v>411</v>
      </c>
      <c r="J5" s="293">
        <v>263391869.72</v>
      </c>
      <c r="K5" s="293">
        <v>70606478.719999999</v>
      </c>
      <c r="L5" s="293">
        <v>1272347</v>
      </c>
      <c r="M5" s="293">
        <v>6798256.6500000004</v>
      </c>
      <c r="N5" s="292" t="s">
        <v>411</v>
      </c>
      <c r="O5" s="292" t="s">
        <v>411</v>
      </c>
      <c r="P5" s="292" t="s">
        <v>411</v>
      </c>
      <c r="Q5" s="293">
        <v>184584512.91999999</v>
      </c>
      <c r="R5" s="292" t="s">
        <v>411</v>
      </c>
      <c r="S5" s="293">
        <v>263261595.28999999</v>
      </c>
      <c r="T5" s="294">
        <v>0.99950000000000006</v>
      </c>
    </row>
    <row r="6" spans="1:20" ht="28.5">
      <c r="A6" s="291" t="s">
        <v>270</v>
      </c>
      <c r="B6" s="292" t="s">
        <v>411</v>
      </c>
      <c r="C6" s="292" t="s">
        <v>411</v>
      </c>
      <c r="D6" s="293">
        <v>5750325</v>
      </c>
      <c r="E6" s="292" t="s">
        <v>411</v>
      </c>
      <c r="F6" s="293">
        <v>7111400</v>
      </c>
      <c r="G6" s="292" t="s">
        <v>411</v>
      </c>
      <c r="H6" s="292" t="s">
        <v>411</v>
      </c>
      <c r="I6" s="293">
        <v>2171</v>
      </c>
      <c r="J6" s="293">
        <v>12863896</v>
      </c>
      <c r="K6" s="292" t="s">
        <v>411</v>
      </c>
      <c r="L6" s="292" t="s">
        <v>411</v>
      </c>
      <c r="M6" s="293">
        <v>5589395.5700000003</v>
      </c>
      <c r="N6" s="292" t="s">
        <v>411</v>
      </c>
      <c r="O6" s="293">
        <v>5381800</v>
      </c>
      <c r="P6" s="292" t="s">
        <v>411</v>
      </c>
      <c r="Q6" s="292" t="s">
        <v>411</v>
      </c>
      <c r="R6" s="293">
        <v>2171</v>
      </c>
      <c r="S6" s="293">
        <v>10973366.57</v>
      </c>
      <c r="T6" s="294">
        <v>0.85299999999999998</v>
      </c>
    </row>
    <row r="7" spans="1:20" ht="28.5">
      <c r="A7" s="291" t="s">
        <v>269</v>
      </c>
      <c r="B7" s="292" t="s">
        <v>411</v>
      </c>
      <c r="C7" s="292" t="s">
        <v>411</v>
      </c>
      <c r="D7" s="293">
        <v>5276910</v>
      </c>
      <c r="E7" s="292" t="s">
        <v>411</v>
      </c>
      <c r="F7" s="293">
        <v>4155850</v>
      </c>
      <c r="G7" s="292" t="s">
        <v>411</v>
      </c>
      <c r="H7" s="292" t="s">
        <v>411</v>
      </c>
      <c r="I7" s="293">
        <v>142480</v>
      </c>
      <c r="J7" s="293">
        <v>9575240</v>
      </c>
      <c r="K7" s="292" t="s">
        <v>411</v>
      </c>
      <c r="L7" s="292" t="s">
        <v>411</v>
      </c>
      <c r="M7" s="293">
        <v>4903284.5</v>
      </c>
      <c r="N7" s="292" t="s">
        <v>411</v>
      </c>
      <c r="O7" s="293">
        <v>3635250</v>
      </c>
      <c r="P7" s="292" t="s">
        <v>411</v>
      </c>
      <c r="Q7" s="292" t="s">
        <v>411</v>
      </c>
      <c r="R7" s="293">
        <v>142480</v>
      </c>
      <c r="S7" s="293">
        <v>8681014.5</v>
      </c>
      <c r="T7" s="294">
        <v>0.90659999999999996</v>
      </c>
    </row>
    <row r="8" spans="1:20" s="315" customFormat="1">
      <c r="A8" s="404">
        <v>1</v>
      </c>
      <c r="B8" s="405">
        <f>SUM(B4:B7)</f>
        <v>70606478.719999999</v>
      </c>
      <c r="C8" s="405">
        <f t="shared" ref="C8:S8" si="0">SUM(C4:C7)</f>
        <v>1272347</v>
      </c>
      <c r="D8" s="405">
        <f t="shared" si="0"/>
        <v>18092819.649999999</v>
      </c>
      <c r="E8" s="405">
        <f t="shared" si="0"/>
        <v>0</v>
      </c>
      <c r="F8" s="405">
        <f t="shared" si="0"/>
        <v>11267250</v>
      </c>
      <c r="G8" s="405">
        <f t="shared" si="0"/>
        <v>0</v>
      </c>
      <c r="H8" s="405">
        <f t="shared" si="0"/>
        <v>184714787.34999999</v>
      </c>
      <c r="I8" s="405">
        <f t="shared" si="0"/>
        <v>8947241</v>
      </c>
      <c r="J8" s="405">
        <f t="shared" si="0"/>
        <v>294900923.72000003</v>
      </c>
      <c r="K8" s="405">
        <f t="shared" si="0"/>
        <v>70606478.719999999</v>
      </c>
      <c r="L8" s="405">
        <f t="shared" si="0"/>
        <v>1272347</v>
      </c>
      <c r="M8" s="405">
        <f t="shared" si="0"/>
        <v>17542094.719999999</v>
      </c>
      <c r="N8" s="405">
        <f t="shared" si="0"/>
        <v>0</v>
      </c>
      <c r="O8" s="405">
        <f t="shared" si="0"/>
        <v>9017050</v>
      </c>
      <c r="P8" s="405">
        <f t="shared" si="0"/>
        <v>0</v>
      </c>
      <c r="Q8" s="405">
        <f t="shared" si="0"/>
        <v>184584512.91999999</v>
      </c>
      <c r="R8" s="405">
        <f t="shared" si="0"/>
        <v>8139993.4199999999</v>
      </c>
      <c r="S8" s="405">
        <f t="shared" si="0"/>
        <v>291162476.77999997</v>
      </c>
      <c r="T8" s="406"/>
    </row>
    <row r="9" spans="1:20" s="273" customFormat="1" ht="21">
      <c r="A9" s="407" t="s">
        <v>271</v>
      </c>
      <c r="B9" s="316" t="s">
        <v>411</v>
      </c>
      <c r="C9" s="316" t="s">
        <v>411</v>
      </c>
      <c r="D9" s="316" t="s">
        <v>411</v>
      </c>
      <c r="E9" s="316" t="s">
        <v>411</v>
      </c>
      <c r="F9" s="316" t="s">
        <v>411</v>
      </c>
      <c r="G9" s="316" t="s">
        <v>411</v>
      </c>
      <c r="H9" s="317">
        <v>7796400</v>
      </c>
      <c r="I9" s="316" t="s">
        <v>411</v>
      </c>
      <c r="J9" s="317">
        <v>7796400</v>
      </c>
      <c r="K9" s="316" t="s">
        <v>411</v>
      </c>
      <c r="L9" s="316" t="s">
        <v>411</v>
      </c>
      <c r="M9" s="316" t="s">
        <v>411</v>
      </c>
      <c r="N9" s="316" t="s">
        <v>411</v>
      </c>
      <c r="O9" s="316" t="s">
        <v>411</v>
      </c>
      <c r="P9" s="316" t="s">
        <v>411</v>
      </c>
      <c r="Q9" s="317">
        <v>7796400</v>
      </c>
      <c r="R9" s="316" t="s">
        <v>411</v>
      </c>
      <c r="S9" s="317">
        <v>7796400</v>
      </c>
      <c r="T9" s="318">
        <v>1</v>
      </c>
    </row>
    <row r="10" spans="1:20">
      <c r="A10" s="287" t="s">
        <v>208</v>
      </c>
      <c r="B10" s="288" t="s">
        <v>411</v>
      </c>
      <c r="C10" s="288" t="s">
        <v>411</v>
      </c>
      <c r="D10" s="288" t="s">
        <v>411</v>
      </c>
      <c r="E10" s="288" t="s">
        <v>411</v>
      </c>
      <c r="F10" s="288" t="s">
        <v>411</v>
      </c>
      <c r="G10" s="288" t="s">
        <v>411</v>
      </c>
      <c r="H10" s="288" t="s">
        <v>411</v>
      </c>
      <c r="I10" s="289">
        <v>24590952.719999999</v>
      </c>
      <c r="J10" s="289">
        <v>24590952.719999999</v>
      </c>
      <c r="K10" s="288" t="s">
        <v>411</v>
      </c>
      <c r="L10" s="288" t="s">
        <v>411</v>
      </c>
      <c r="M10" s="288" t="s">
        <v>411</v>
      </c>
      <c r="N10" s="288" t="s">
        <v>411</v>
      </c>
      <c r="O10" s="288" t="s">
        <v>411</v>
      </c>
      <c r="P10" s="288" t="s">
        <v>411</v>
      </c>
      <c r="Q10" s="288" t="s">
        <v>411</v>
      </c>
      <c r="R10" s="289">
        <v>21857973.68</v>
      </c>
      <c r="S10" s="289">
        <v>21857973.68</v>
      </c>
      <c r="T10" s="290">
        <v>0.88890000000000002</v>
      </c>
    </row>
    <row r="11" spans="1:20">
      <c r="A11" s="287" t="s">
        <v>208</v>
      </c>
      <c r="B11" s="288" t="s">
        <v>411</v>
      </c>
      <c r="C11" s="288" t="s">
        <v>411</v>
      </c>
      <c r="D11" s="288" t="s">
        <v>411</v>
      </c>
      <c r="E11" s="288" t="s">
        <v>411</v>
      </c>
      <c r="F11" s="288" t="s">
        <v>411</v>
      </c>
      <c r="G11" s="288" t="s">
        <v>411</v>
      </c>
      <c r="H11" s="289">
        <v>411100</v>
      </c>
      <c r="I11" s="288" t="s">
        <v>411</v>
      </c>
      <c r="J11" s="289">
        <v>411100</v>
      </c>
      <c r="K11" s="288" t="s">
        <v>411</v>
      </c>
      <c r="L11" s="288" t="s">
        <v>411</v>
      </c>
      <c r="M11" s="288" t="s">
        <v>411</v>
      </c>
      <c r="N11" s="288" t="s">
        <v>411</v>
      </c>
      <c r="O11" s="288" t="s">
        <v>411</v>
      </c>
      <c r="P11" s="288" t="s">
        <v>411</v>
      </c>
      <c r="Q11" s="289">
        <v>114550.45</v>
      </c>
      <c r="R11" s="288" t="s">
        <v>411</v>
      </c>
      <c r="S11" s="289">
        <v>114550.45</v>
      </c>
      <c r="T11" s="290">
        <v>0.27860000000000001</v>
      </c>
    </row>
    <row r="12" spans="1:20">
      <c r="A12" s="291" t="s">
        <v>208</v>
      </c>
      <c r="B12" s="292" t="s">
        <v>411</v>
      </c>
      <c r="C12" s="292" t="s">
        <v>411</v>
      </c>
      <c r="D12" s="292" t="s">
        <v>411</v>
      </c>
      <c r="E12" s="292" t="s">
        <v>411</v>
      </c>
      <c r="F12" s="292" t="s">
        <v>411</v>
      </c>
      <c r="G12" s="292" t="s">
        <v>411</v>
      </c>
      <c r="H12" s="292" t="s">
        <v>411</v>
      </c>
      <c r="I12" s="293">
        <v>14885073.699999999</v>
      </c>
      <c r="J12" s="293">
        <v>14885073.699999999</v>
      </c>
      <c r="K12" s="292" t="s">
        <v>411</v>
      </c>
      <c r="L12" s="292" t="s">
        <v>411</v>
      </c>
      <c r="M12" s="292" t="s">
        <v>411</v>
      </c>
      <c r="N12" s="292" t="s">
        <v>411</v>
      </c>
      <c r="O12" s="292" t="s">
        <v>411</v>
      </c>
      <c r="P12" s="292" t="s">
        <v>411</v>
      </c>
      <c r="Q12" s="292" t="s">
        <v>411</v>
      </c>
      <c r="R12" s="293">
        <v>12592670.48</v>
      </c>
      <c r="S12" s="293">
        <v>12592670.48</v>
      </c>
      <c r="T12" s="294">
        <v>0.84599999999999997</v>
      </c>
    </row>
    <row r="13" spans="1:20" s="315" customFormat="1">
      <c r="A13" s="407">
        <v>3</v>
      </c>
      <c r="B13" s="316">
        <f>SUM(B10:B12)</f>
        <v>0</v>
      </c>
      <c r="C13" s="316">
        <f t="shared" ref="C13:S13" si="1">SUM(C10:C12)</f>
        <v>0</v>
      </c>
      <c r="D13" s="316">
        <f t="shared" si="1"/>
        <v>0</v>
      </c>
      <c r="E13" s="316">
        <f t="shared" si="1"/>
        <v>0</v>
      </c>
      <c r="F13" s="316">
        <f t="shared" si="1"/>
        <v>0</v>
      </c>
      <c r="G13" s="316">
        <f t="shared" si="1"/>
        <v>0</v>
      </c>
      <c r="H13" s="316">
        <f t="shared" si="1"/>
        <v>411100</v>
      </c>
      <c r="I13" s="316">
        <f t="shared" si="1"/>
        <v>39476026.420000002</v>
      </c>
      <c r="J13" s="316">
        <f t="shared" si="1"/>
        <v>39887126.420000002</v>
      </c>
      <c r="K13" s="316">
        <f t="shared" si="1"/>
        <v>0</v>
      </c>
      <c r="L13" s="316">
        <f t="shared" si="1"/>
        <v>0</v>
      </c>
      <c r="M13" s="316">
        <f t="shared" si="1"/>
        <v>0</v>
      </c>
      <c r="N13" s="316">
        <f t="shared" si="1"/>
        <v>0</v>
      </c>
      <c r="O13" s="316">
        <f t="shared" si="1"/>
        <v>0</v>
      </c>
      <c r="P13" s="316">
        <f t="shared" si="1"/>
        <v>0</v>
      </c>
      <c r="Q13" s="316">
        <f t="shared" si="1"/>
        <v>114550.45</v>
      </c>
      <c r="R13" s="316">
        <f t="shared" si="1"/>
        <v>34450644.159999996</v>
      </c>
      <c r="S13" s="316">
        <f t="shared" si="1"/>
        <v>34565194.609999999</v>
      </c>
      <c r="T13" s="318"/>
    </row>
    <row r="14" spans="1:20" s="273" customFormat="1">
      <c r="A14" s="407" t="s">
        <v>209</v>
      </c>
      <c r="B14" s="316" t="s">
        <v>411</v>
      </c>
      <c r="C14" s="316" t="s">
        <v>411</v>
      </c>
      <c r="D14" s="317">
        <v>102000</v>
      </c>
      <c r="E14" s="316" t="s">
        <v>411</v>
      </c>
      <c r="F14" s="316" t="s">
        <v>411</v>
      </c>
      <c r="G14" s="316" t="s">
        <v>411</v>
      </c>
      <c r="H14" s="317">
        <v>27000</v>
      </c>
      <c r="I14" s="317">
        <v>2042576</v>
      </c>
      <c r="J14" s="317">
        <v>2171576</v>
      </c>
      <c r="K14" s="316" t="s">
        <v>411</v>
      </c>
      <c r="L14" s="316" t="s">
        <v>411</v>
      </c>
      <c r="M14" s="317">
        <v>102000</v>
      </c>
      <c r="N14" s="316" t="s">
        <v>411</v>
      </c>
      <c r="O14" s="316" t="s">
        <v>411</v>
      </c>
      <c r="P14" s="316" t="s">
        <v>411</v>
      </c>
      <c r="Q14" s="317">
        <v>27000</v>
      </c>
      <c r="R14" s="317">
        <v>1927607.3</v>
      </c>
      <c r="S14" s="317">
        <v>2056607.3</v>
      </c>
      <c r="T14" s="318">
        <v>0.94710000000000005</v>
      </c>
    </row>
    <row r="15" spans="1:20">
      <c r="A15" s="291" t="s">
        <v>357</v>
      </c>
      <c r="B15" s="292" t="s">
        <v>411</v>
      </c>
      <c r="C15" s="292" t="s">
        <v>411</v>
      </c>
      <c r="D15" s="293">
        <v>11625</v>
      </c>
      <c r="E15" s="292" t="s">
        <v>411</v>
      </c>
      <c r="F15" s="292" t="s">
        <v>411</v>
      </c>
      <c r="G15" s="292" t="s">
        <v>411</v>
      </c>
      <c r="H15" s="292" t="s">
        <v>411</v>
      </c>
      <c r="I15" s="293">
        <v>1563657</v>
      </c>
      <c r="J15" s="293">
        <f>SUM(B15:I15)</f>
        <v>1575282</v>
      </c>
      <c r="K15" s="292" t="s">
        <v>411</v>
      </c>
      <c r="L15" s="292" t="s">
        <v>411</v>
      </c>
      <c r="M15" s="293">
        <v>9825</v>
      </c>
      <c r="N15" s="292" t="s">
        <v>411</v>
      </c>
      <c r="O15" s="292" t="s">
        <v>411</v>
      </c>
      <c r="P15" s="292" t="s">
        <v>411</v>
      </c>
      <c r="Q15" s="292" t="s">
        <v>411</v>
      </c>
      <c r="R15" s="293">
        <v>802934.72</v>
      </c>
      <c r="S15" s="293">
        <f>SUM(K15:R15)</f>
        <v>812759.72</v>
      </c>
      <c r="T15" s="294">
        <v>0.51590000000000003</v>
      </c>
    </row>
    <row r="16" spans="1:20">
      <c r="A16" s="287" t="s">
        <v>272</v>
      </c>
      <c r="B16" s="288" t="s">
        <v>411</v>
      </c>
      <c r="C16" s="288" t="s">
        <v>411</v>
      </c>
      <c r="D16" s="289">
        <v>4794184</v>
      </c>
      <c r="E16" s="289">
        <v>7559926.54</v>
      </c>
      <c r="F16" s="289">
        <f>SUM(8336600-6986973.14)</f>
        <v>1349626.8600000003</v>
      </c>
      <c r="G16" s="288" t="s">
        <v>411</v>
      </c>
      <c r="H16" s="288" t="s">
        <v>411</v>
      </c>
      <c r="I16" s="289">
        <v>799891</v>
      </c>
      <c r="J16" s="293">
        <f t="shared" ref="J16:J17" si="2">SUM(B16:I16)</f>
        <v>14503628.399999999</v>
      </c>
      <c r="K16" s="288" t="s">
        <v>411</v>
      </c>
      <c r="L16" s="288" t="s">
        <v>411</v>
      </c>
      <c r="M16" s="289">
        <v>4444247.92</v>
      </c>
      <c r="N16" s="289">
        <v>7559926.54</v>
      </c>
      <c r="O16" s="289">
        <f>SUM(7964900)</f>
        <v>7964900</v>
      </c>
      <c r="P16" s="288" t="s">
        <v>411</v>
      </c>
      <c r="Q16" s="288" t="s">
        <v>411</v>
      </c>
      <c r="R16" s="289">
        <v>552637</v>
      </c>
      <c r="S16" s="293">
        <f t="shared" ref="S16:S17" si="3">SUM(K16:R16)</f>
        <v>20521711.460000001</v>
      </c>
      <c r="T16" s="290">
        <v>0.95489999999999997</v>
      </c>
    </row>
    <row r="17" spans="1:20">
      <c r="A17" s="287" t="s">
        <v>273</v>
      </c>
      <c r="B17" s="288" t="s">
        <v>411</v>
      </c>
      <c r="C17" s="288" t="s">
        <v>411</v>
      </c>
      <c r="D17" s="289">
        <v>2294810</v>
      </c>
      <c r="E17" s="289">
        <v>9143619.2699999996</v>
      </c>
      <c r="F17" s="288" t="s">
        <v>411</v>
      </c>
      <c r="G17" s="289">
        <v>115159904.83</v>
      </c>
      <c r="H17" s="288" t="s">
        <v>411</v>
      </c>
      <c r="I17" s="288" t="s">
        <v>411</v>
      </c>
      <c r="J17" s="293">
        <f t="shared" si="2"/>
        <v>126598334.09999999</v>
      </c>
      <c r="K17" s="288" t="s">
        <v>411</v>
      </c>
      <c r="L17" s="288" t="s">
        <v>411</v>
      </c>
      <c r="M17" s="289">
        <v>2055555.82</v>
      </c>
      <c r="N17" s="289">
        <v>9044998.5700000003</v>
      </c>
      <c r="O17" s="288" t="s">
        <v>411</v>
      </c>
      <c r="P17" s="289">
        <f>SUM(84231900+18202.32)</f>
        <v>84250102.319999993</v>
      </c>
      <c r="Q17" s="288" t="s">
        <v>411</v>
      </c>
      <c r="R17" s="288" t="s">
        <v>411</v>
      </c>
      <c r="S17" s="293">
        <f t="shared" si="3"/>
        <v>95350656.709999993</v>
      </c>
      <c r="T17" s="290">
        <v>0.753</v>
      </c>
    </row>
    <row r="18" spans="1:20" s="315" customFormat="1">
      <c r="A18" s="408">
        <v>5</v>
      </c>
      <c r="B18" s="409">
        <f>SUM(B15:B17)</f>
        <v>0</v>
      </c>
      <c r="C18" s="409">
        <f t="shared" ref="C18:S18" si="4">SUM(C15:C17)</f>
        <v>0</v>
      </c>
      <c r="D18" s="409">
        <f t="shared" si="4"/>
        <v>7100619</v>
      </c>
      <c r="E18" s="409">
        <f t="shared" si="4"/>
        <v>16703545.809999999</v>
      </c>
      <c r="F18" s="409">
        <f>SUM(F15:F17)</f>
        <v>1349626.8600000003</v>
      </c>
      <c r="G18" s="409">
        <f>SUM(G15:G17)</f>
        <v>115159904.83</v>
      </c>
      <c r="H18" s="409">
        <f t="shared" si="4"/>
        <v>0</v>
      </c>
      <c r="I18" s="409">
        <f t="shared" si="4"/>
        <v>2363548</v>
      </c>
      <c r="J18" s="452">
        <f>SUM(J15:J17)</f>
        <v>142677244.5</v>
      </c>
      <c r="K18" s="409">
        <f t="shared" si="4"/>
        <v>0</v>
      </c>
      <c r="L18" s="409">
        <f t="shared" si="4"/>
        <v>0</v>
      </c>
      <c r="M18" s="409">
        <f t="shared" si="4"/>
        <v>6509628.7400000002</v>
      </c>
      <c r="N18" s="409">
        <f t="shared" si="4"/>
        <v>16604925.109999999</v>
      </c>
      <c r="O18" s="409">
        <f>SUM(O15:O17)</f>
        <v>7964900</v>
      </c>
      <c r="P18" s="409">
        <f t="shared" si="4"/>
        <v>84250102.319999993</v>
      </c>
      <c r="Q18" s="409">
        <f t="shared" si="4"/>
        <v>0</v>
      </c>
      <c r="R18" s="409">
        <f t="shared" si="4"/>
        <v>1355571.72</v>
      </c>
      <c r="S18" s="409">
        <f t="shared" si="4"/>
        <v>116685127.88999999</v>
      </c>
      <c r="T18" s="410"/>
    </row>
    <row r="19" spans="1:20">
      <c r="A19" s="302" t="s">
        <v>4</v>
      </c>
      <c r="B19" s="303">
        <v>70606478.719999999</v>
      </c>
      <c r="C19" s="303">
        <v>1272347</v>
      </c>
      <c r="D19" s="303">
        <v>25295438.649999999</v>
      </c>
      <c r="E19" s="303">
        <v>16703545.810000001</v>
      </c>
      <c r="F19" s="303">
        <v>19603850</v>
      </c>
      <c r="G19" s="303">
        <v>115159904.19</v>
      </c>
      <c r="H19" s="303">
        <v>192949287.34999999</v>
      </c>
      <c r="I19" s="303">
        <v>52829391.420000002</v>
      </c>
      <c r="J19" s="303">
        <v>494420243.13999999</v>
      </c>
      <c r="K19" s="303">
        <v>70606478.719999999</v>
      </c>
      <c r="L19" s="303">
        <v>1272347</v>
      </c>
      <c r="M19" s="303">
        <v>24153723.460000001</v>
      </c>
      <c r="N19" s="303">
        <v>16604925.109999999</v>
      </c>
      <c r="O19" s="303">
        <v>16981950</v>
      </c>
      <c r="P19" s="303">
        <v>84231900</v>
      </c>
      <c r="Q19" s="303">
        <v>192522463.37</v>
      </c>
      <c r="R19" s="303">
        <v>45873816.600000001</v>
      </c>
      <c r="S19" s="303">
        <v>452247604.25999999</v>
      </c>
      <c r="T19" s="304">
        <v>0.91469999999999996</v>
      </c>
    </row>
    <row r="20" spans="1:20">
      <c r="A20" s="295" t="s">
        <v>38</v>
      </c>
      <c r="B20" s="296">
        <v>70606478.719999999</v>
      </c>
      <c r="C20" s="296">
        <v>1272347</v>
      </c>
      <c r="D20" s="296">
        <v>25295438.649999999</v>
      </c>
      <c r="E20" s="296">
        <v>16703545.810000001</v>
      </c>
      <c r="F20" s="296">
        <v>19603850</v>
      </c>
      <c r="G20" s="296">
        <v>115159904.19</v>
      </c>
      <c r="H20" s="296">
        <v>192949287.34999999</v>
      </c>
      <c r="I20" s="296">
        <v>52829391.420000002</v>
      </c>
      <c r="J20" s="296">
        <v>494420243.13999999</v>
      </c>
      <c r="K20" s="296">
        <v>70606478.719999999</v>
      </c>
      <c r="L20" s="296">
        <v>1272347</v>
      </c>
      <c r="M20" s="296">
        <v>24153723.460000001</v>
      </c>
      <c r="N20" s="296">
        <v>16604925.109999999</v>
      </c>
      <c r="O20" s="296">
        <v>16981950</v>
      </c>
      <c r="P20" s="296">
        <v>84231900</v>
      </c>
      <c r="Q20" s="296">
        <v>192522463.37</v>
      </c>
      <c r="R20" s="296">
        <v>45873816.600000001</v>
      </c>
      <c r="S20" s="296">
        <v>452247604.25999999</v>
      </c>
      <c r="T20" s="297">
        <v>0.91469999999999996</v>
      </c>
    </row>
    <row r="23" spans="1:20">
      <c r="S23">
        <f>SUM(S8:S9,S13:S14,S18)</f>
        <v>452265806.57999998</v>
      </c>
    </row>
    <row r="24" spans="1:20">
      <c r="J24" s="91">
        <f>SUM(J8:J9,J13:J14,J18)</f>
        <v>487433270.64000005</v>
      </c>
    </row>
  </sheetData>
  <sortState xmlns:xlrd2="http://schemas.microsoft.com/office/spreadsheetml/2017/richdata2" ref="A4:T17">
    <sortCondition ref="A4:A17"/>
  </sortState>
  <mergeCells count="10">
    <mergeCell ref="B1:J1"/>
    <mergeCell ref="K1:S1"/>
    <mergeCell ref="B2:C2"/>
    <mergeCell ref="D2:E2"/>
    <mergeCell ref="F2:G2"/>
    <mergeCell ref="J2:J3"/>
    <mergeCell ref="K2:L2"/>
    <mergeCell ref="M2:N2"/>
    <mergeCell ref="O2:P2"/>
    <mergeCell ref="S2:S3"/>
  </mergeCells>
  <hyperlinks>
    <hyperlink ref="A5" r:id="rId1" tooltip="ประเด็นกลยุทธ์ที่" display="http://3dgf.lpru.ac.th/bgreport1/BG2562/SubBudgetPlan.php?Plan=1&amp;BudgetYear=2562&amp;ProjectID=01001&amp;PlanN=%E0%A7%D4%B9%A7%BA%BB%C3%D0%C1%D2%B3%E1%BC%E8%B9%B4%D4%B9" xr:uid="{9FF9E917-FD4B-4AE9-AAEC-95AD390A0F66}"/>
    <hyperlink ref="A7" r:id="rId2" tooltip="ประเด็นกลยุทธ์ที่" display="http://3dgf.lpru.ac.th/bgreport1/BG2562/SubBudgetPlan.php?Plan=1&amp;BudgetYear=2562&amp;ProjectID=02001&amp;PlanN=%E0%A7%D4%B9%A7%BA%BB%C3%D0%C1%D2%B3%E1%BC%E8%B9%B4%D4%B9" xr:uid="{472C3E62-789D-48A5-BA51-3E4A4307C151}"/>
    <hyperlink ref="A17" r:id="rId3" tooltip="ประเด็นกลยุทธ์ที่" display="http://3dgf.lpru.ac.th/bgreport1/BG2562/SubBudgetPlan.php?Plan=1&amp;BudgetYear=2562&amp;ProjectID=02002&amp;PlanN=%E0%A7%D4%B9%A7%BA%BB%C3%D0%C1%D2%B3%E1%BC%E8%B9%B4%D4%B9" xr:uid="{361825DB-166C-4F9C-AADD-7F4B9E971B8A}"/>
    <hyperlink ref="A6" r:id="rId4" tooltip="ประเด็นกลยุทธ์ที่" display="http://3dgf.lpru.ac.th/bgreport1/BG2562/SubBudgetPlan.php?Plan=1&amp;BudgetYear=2562&amp;ProjectID=02101&amp;PlanN=%E0%A7%D4%B9%A7%BA%BB%C3%D0%C1%D2%B3%E1%BC%E8%B9%B4%D4%B9" xr:uid="{8278DF7B-A75E-44C3-969D-2BF085E6C9AC}"/>
    <hyperlink ref="A16" r:id="rId5" tooltip="ประเด็นกลยุทธ์ที่" display="http://3dgf.lpru.ac.th/bgreport1/BG2562/SubBudgetPlan.php?Plan=1&amp;BudgetYear=2562&amp;ProjectID=02102&amp;PlanN=%E0%A7%D4%B9%A7%BA%BB%C3%D0%C1%D2%B3%E1%BC%E8%B9%B4%D4%B9" xr:uid="{CDB2DE1E-4AA4-4827-AC13-CDD5E40CA6BF}"/>
    <hyperlink ref="A14" r:id="rId6" tooltip="ประเด็นกลยุทธ์ที่" display="http://3dgf.lpru.ac.th/bgreport1/BG2562/SubBudgetPlan.php?Plan=1&amp;BudgetYear=2562&amp;ProjectID=02201&amp;PlanN=%E0%A7%D4%B9%A7%BA%BB%C3%D0%C1%D2%B3%E1%BC%E8%B9%B4%D4%B9" xr:uid="{9D1F0CB3-BEDF-4581-B3B9-C256E9CF161A}"/>
    <hyperlink ref="A4" r:id="rId7" tooltip="ประเด็นกลยุทธ์ที่" display="http://3dgf.lpru.ac.th/bgreport1/BG2562/SubBudgetPlan.php?Plan=1&amp;BudgetYear=2562&amp;ProjectID=03001&amp;PlanN=%E0%A7%D4%B9%A7%BA%BB%C3%D0%C1%D2%B3%E1%BC%E8%B9%B4%D4%B9" xr:uid="{5114593F-0877-4C0D-8B0C-E75879AAA85F}"/>
    <hyperlink ref="A10" r:id="rId8" tooltip="ประเด็นกลยุทธ์ที่" display="http://3dgf.lpru.ac.th/bgreport1/BG2562/SubBudgetPlan.php?Plan=1&amp;BudgetYear=2562&amp;ProjectID=03002&amp;PlanN=%E0%A7%D4%B9%A7%BA%BB%C3%D0%C1%D2%B3%E1%BC%E8%B9%B4%D4%B9" xr:uid="{FE762538-22C1-4A49-80C9-D32FBEC36F90}"/>
    <hyperlink ref="A15" r:id="rId9" tooltip="ประเด็นกลยุทธ์ที่" display="http://3dgf.lpru.ac.th/bgreport1/BG2562/SubBudgetPlan.php?Plan=1&amp;BudgetYear=2562&amp;ProjectID=03003&amp;PlanN=%E0%A7%D4%B9%A7%BA%BB%C3%D0%C1%D2%B3%E1%BC%E8%B9%B4%D4%B9" xr:uid="{B31CCBBC-F255-4367-ACD8-6E01EECDA6D1}"/>
    <hyperlink ref="A11" r:id="rId10" tooltip="ประเด็นกลยุทธ์ที่" display="http://3dgf.lpru.ac.th/bgreport1/BG2562/SubBudgetPlan.php?Plan=1&amp;BudgetYear=2562&amp;ProjectID=03101&amp;PlanN=%E0%A7%D4%B9%A7%BA%BB%C3%D0%C1%D2%B3%E1%BC%E8%B9%B4%D4%B9" xr:uid="{E461F278-F92E-44CB-B993-E8A3BAD90F92}"/>
    <hyperlink ref="A9" r:id="rId11" tooltip="ประเด็นกลยุทธ์ที่" display="http://3dgf.lpru.ac.th/bgreport1/BG2562/SubBudgetPlan.php?Plan=1&amp;BudgetYear=2562&amp;ProjectID=04001&amp;PlanN=%E0%A7%D4%B9%A7%BA%BB%C3%D0%C1%D2%B3%E1%BC%E8%B9%B4%D4%B9" xr:uid="{C09D933B-EB71-4D9B-97F2-506816B68BFD}"/>
    <hyperlink ref="A12" r:id="rId12" tooltip="ประเด็นกลยุทธ์ที่" display="http://3dgf.lpru.ac.th/bgreport1/BG2562/SubBudgetPlan.php?Plan=1&amp;BudgetYear=2562&amp;ProjectID=05001&amp;PlanN=%E0%A7%D4%B9%A7%BA%BB%C3%D0%C1%D2%B3%E1%BC%E8%B9%B4%D4%B9" xr:uid="{A39DB193-02F7-4123-8C4E-6A414D138607}"/>
  </hyperlinks>
  <pageMargins left="0.7" right="0.7" top="0.75" bottom="0.75" header="0.3" footer="0.3"/>
  <pageSetup orientation="portrait" r:id="rId1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4"/>
  <sheetViews>
    <sheetView zoomScale="85" zoomScaleNormal="85" workbookViewId="0">
      <pane xSplit="1" ySplit="3" topLeftCell="G7" activePane="bottomRight" state="frozen"/>
      <selection pane="topRight" activeCell="B1" sqref="B1"/>
      <selection pane="bottomLeft" activeCell="A4" sqref="A4"/>
      <selection pane="bottomRight" activeCell="S18" activeCellId="4" sqref="S8:S9 S12 S13 S17 S18"/>
    </sheetView>
  </sheetViews>
  <sheetFormatPr defaultRowHeight="14.25"/>
  <cols>
    <col min="1" max="1" width="33.875" customWidth="1"/>
    <col min="4" max="4" width="9.5" bestFit="1" customWidth="1"/>
    <col min="8" max="8" width="9.5" bestFit="1" customWidth="1"/>
    <col min="10" max="10" width="14.25" bestFit="1" customWidth="1"/>
    <col min="19" max="19" width="13.125" bestFit="1" customWidth="1"/>
    <col min="257" max="257" width="33.875" customWidth="1"/>
    <col min="260" max="260" width="9.5" bestFit="1" customWidth="1"/>
    <col min="264" max="264" width="9.5" bestFit="1" customWidth="1"/>
    <col min="266" max="266" width="10.25" bestFit="1" customWidth="1"/>
    <col min="513" max="513" width="33.875" customWidth="1"/>
    <col min="516" max="516" width="9.5" bestFit="1" customWidth="1"/>
    <col min="520" max="520" width="9.5" bestFit="1" customWidth="1"/>
    <col min="522" max="522" width="10.25" bestFit="1" customWidth="1"/>
    <col min="769" max="769" width="33.875" customWidth="1"/>
    <col min="772" max="772" width="9.5" bestFit="1" customWidth="1"/>
    <col min="776" max="776" width="9.5" bestFit="1" customWidth="1"/>
    <col min="778" max="778" width="10.25" bestFit="1" customWidth="1"/>
    <col min="1025" max="1025" width="33.875" customWidth="1"/>
    <col min="1028" max="1028" width="9.5" bestFit="1" customWidth="1"/>
    <col min="1032" max="1032" width="9.5" bestFit="1" customWidth="1"/>
    <col min="1034" max="1034" width="10.25" bestFit="1" customWidth="1"/>
    <col min="1281" max="1281" width="33.875" customWidth="1"/>
    <col min="1284" max="1284" width="9.5" bestFit="1" customWidth="1"/>
    <col min="1288" max="1288" width="9.5" bestFit="1" customWidth="1"/>
    <col min="1290" max="1290" width="10.25" bestFit="1" customWidth="1"/>
    <col min="1537" max="1537" width="33.875" customWidth="1"/>
    <col min="1540" max="1540" width="9.5" bestFit="1" customWidth="1"/>
    <col min="1544" max="1544" width="9.5" bestFit="1" customWidth="1"/>
    <col min="1546" max="1546" width="10.25" bestFit="1" customWidth="1"/>
    <col min="1793" max="1793" width="33.875" customWidth="1"/>
    <col min="1796" max="1796" width="9.5" bestFit="1" customWidth="1"/>
    <col min="1800" max="1800" width="9.5" bestFit="1" customWidth="1"/>
    <col min="1802" max="1802" width="10.25" bestFit="1" customWidth="1"/>
    <col min="2049" max="2049" width="33.875" customWidth="1"/>
    <col min="2052" max="2052" width="9.5" bestFit="1" customWidth="1"/>
    <col min="2056" max="2056" width="9.5" bestFit="1" customWidth="1"/>
    <col min="2058" max="2058" width="10.25" bestFit="1" customWidth="1"/>
    <col min="2305" max="2305" width="33.875" customWidth="1"/>
    <col min="2308" max="2308" width="9.5" bestFit="1" customWidth="1"/>
    <col min="2312" max="2312" width="9.5" bestFit="1" customWidth="1"/>
    <col min="2314" max="2314" width="10.25" bestFit="1" customWidth="1"/>
    <col min="2561" max="2561" width="33.875" customWidth="1"/>
    <col min="2564" max="2564" width="9.5" bestFit="1" customWidth="1"/>
    <col min="2568" max="2568" width="9.5" bestFit="1" customWidth="1"/>
    <col min="2570" max="2570" width="10.25" bestFit="1" customWidth="1"/>
    <col min="2817" max="2817" width="33.875" customWidth="1"/>
    <col min="2820" max="2820" width="9.5" bestFit="1" customWidth="1"/>
    <col min="2824" max="2824" width="9.5" bestFit="1" customWidth="1"/>
    <col min="2826" max="2826" width="10.25" bestFit="1" customWidth="1"/>
    <col min="3073" max="3073" width="33.875" customWidth="1"/>
    <col min="3076" max="3076" width="9.5" bestFit="1" customWidth="1"/>
    <col min="3080" max="3080" width="9.5" bestFit="1" customWidth="1"/>
    <col min="3082" max="3082" width="10.25" bestFit="1" customWidth="1"/>
    <col min="3329" max="3329" width="33.875" customWidth="1"/>
    <col min="3332" max="3332" width="9.5" bestFit="1" customWidth="1"/>
    <col min="3336" max="3336" width="9.5" bestFit="1" customWidth="1"/>
    <col min="3338" max="3338" width="10.25" bestFit="1" customWidth="1"/>
    <col min="3585" max="3585" width="33.875" customWidth="1"/>
    <col min="3588" max="3588" width="9.5" bestFit="1" customWidth="1"/>
    <col min="3592" max="3592" width="9.5" bestFit="1" customWidth="1"/>
    <col min="3594" max="3594" width="10.25" bestFit="1" customWidth="1"/>
    <col min="3841" max="3841" width="33.875" customWidth="1"/>
    <col min="3844" max="3844" width="9.5" bestFit="1" customWidth="1"/>
    <col min="3848" max="3848" width="9.5" bestFit="1" customWidth="1"/>
    <col min="3850" max="3850" width="10.25" bestFit="1" customWidth="1"/>
    <col min="4097" max="4097" width="33.875" customWidth="1"/>
    <col min="4100" max="4100" width="9.5" bestFit="1" customWidth="1"/>
    <col min="4104" max="4104" width="9.5" bestFit="1" customWidth="1"/>
    <col min="4106" max="4106" width="10.25" bestFit="1" customWidth="1"/>
    <col min="4353" max="4353" width="33.875" customWidth="1"/>
    <col min="4356" max="4356" width="9.5" bestFit="1" customWidth="1"/>
    <col min="4360" max="4360" width="9.5" bestFit="1" customWidth="1"/>
    <col min="4362" max="4362" width="10.25" bestFit="1" customWidth="1"/>
    <col min="4609" max="4609" width="33.875" customWidth="1"/>
    <col min="4612" max="4612" width="9.5" bestFit="1" customWidth="1"/>
    <col min="4616" max="4616" width="9.5" bestFit="1" customWidth="1"/>
    <col min="4618" max="4618" width="10.25" bestFit="1" customWidth="1"/>
    <col min="4865" max="4865" width="33.875" customWidth="1"/>
    <col min="4868" max="4868" width="9.5" bestFit="1" customWidth="1"/>
    <col min="4872" max="4872" width="9.5" bestFit="1" customWidth="1"/>
    <col min="4874" max="4874" width="10.25" bestFit="1" customWidth="1"/>
    <col min="5121" max="5121" width="33.875" customWidth="1"/>
    <col min="5124" max="5124" width="9.5" bestFit="1" customWidth="1"/>
    <col min="5128" max="5128" width="9.5" bestFit="1" customWidth="1"/>
    <col min="5130" max="5130" width="10.25" bestFit="1" customWidth="1"/>
    <col min="5377" max="5377" width="33.875" customWidth="1"/>
    <col min="5380" max="5380" width="9.5" bestFit="1" customWidth="1"/>
    <col min="5384" max="5384" width="9.5" bestFit="1" customWidth="1"/>
    <col min="5386" max="5386" width="10.25" bestFit="1" customWidth="1"/>
    <col min="5633" max="5633" width="33.875" customWidth="1"/>
    <col min="5636" max="5636" width="9.5" bestFit="1" customWidth="1"/>
    <col min="5640" max="5640" width="9.5" bestFit="1" customWidth="1"/>
    <col min="5642" max="5642" width="10.25" bestFit="1" customWidth="1"/>
    <col min="5889" max="5889" width="33.875" customWidth="1"/>
    <col min="5892" max="5892" width="9.5" bestFit="1" customWidth="1"/>
    <col min="5896" max="5896" width="9.5" bestFit="1" customWidth="1"/>
    <col min="5898" max="5898" width="10.25" bestFit="1" customWidth="1"/>
    <col min="6145" max="6145" width="33.875" customWidth="1"/>
    <col min="6148" max="6148" width="9.5" bestFit="1" customWidth="1"/>
    <col min="6152" max="6152" width="9.5" bestFit="1" customWidth="1"/>
    <col min="6154" max="6154" width="10.25" bestFit="1" customWidth="1"/>
    <col min="6401" max="6401" width="33.875" customWidth="1"/>
    <col min="6404" max="6404" width="9.5" bestFit="1" customWidth="1"/>
    <col min="6408" max="6408" width="9.5" bestFit="1" customWidth="1"/>
    <col min="6410" max="6410" width="10.25" bestFit="1" customWidth="1"/>
    <col min="6657" max="6657" width="33.875" customWidth="1"/>
    <col min="6660" max="6660" width="9.5" bestFit="1" customWidth="1"/>
    <col min="6664" max="6664" width="9.5" bestFit="1" customWidth="1"/>
    <col min="6666" max="6666" width="10.25" bestFit="1" customWidth="1"/>
    <col min="6913" max="6913" width="33.875" customWidth="1"/>
    <col min="6916" max="6916" width="9.5" bestFit="1" customWidth="1"/>
    <col min="6920" max="6920" width="9.5" bestFit="1" customWidth="1"/>
    <col min="6922" max="6922" width="10.25" bestFit="1" customWidth="1"/>
    <col min="7169" max="7169" width="33.875" customWidth="1"/>
    <col min="7172" max="7172" width="9.5" bestFit="1" customWidth="1"/>
    <col min="7176" max="7176" width="9.5" bestFit="1" customWidth="1"/>
    <col min="7178" max="7178" width="10.25" bestFit="1" customWidth="1"/>
    <col min="7425" max="7425" width="33.875" customWidth="1"/>
    <col min="7428" max="7428" width="9.5" bestFit="1" customWidth="1"/>
    <col min="7432" max="7432" width="9.5" bestFit="1" customWidth="1"/>
    <col min="7434" max="7434" width="10.25" bestFit="1" customWidth="1"/>
    <col min="7681" max="7681" width="33.875" customWidth="1"/>
    <col min="7684" max="7684" width="9.5" bestFit="1" customWidth="1"/>
    <col min="7688" max="7688" width="9.5" bestFit="1" customWidth="1"/>
    <col min="7690" max="7690" width="10.25" bestFit="1" customWidth="1"/>
    <col min="7937" max="7937" width="33.875" customWidth="1"/>
    <col min="7940" max="7940" width="9.5" bestFit="1" customWidth="1"/>
    <col min="7944" max="7944" width="9.5" bestFit="1" customWidth="1"/>
    <col min="7946" max="7946" width="10.25" bestFit="1" customWidth="1"/>
    <col min="8193" max="8193" width="33.875" customWidth="1"/>
    <col min="8196" max="8196" width="9.5" bestFit="1" customWidth="1"/>
    <col min="8200" max="8200" width="9.5" bestFit="1" customWidth="1"/>
    <col min="8202" max="8202" width="10.25" bestFit="1" customWidth="1"/>
    <col min="8449" max="8449" width="33.875" customWidth="1"/>
    <col min="8452" max="8452" width="9.5" bestFit="1" customWidth="1"/>
    <col min="8456" max="8456" width="9.5" bestFit="1" customWidth="1"/>
    <col min="8458" max="8458" width="10.25" bestFit="1" customWidth="1"/>
    <col min="8705" max="8705" width="33.875" customWidth="1"/>
    <col min="8708" max="8708" width="9.5" bestFit="1" customWidth="1"/>
    <col min="8712" max="8712" width="9.5" bestFit="1" customWidth="1"/>
    <col min="8714" max="8714" width="10.25" bestFit="1" customWidth="1"/>
    <col min="8961" max="8961" width="33.875" customWidth="1"/>
    <col min="8964" max="8964" width="9.5" bestFit="1" customWidth="1"/>
    <col min="8968" max="8968" width="9.5" bestFit="1" customWidth="1"/>
    <col min="8970" max="8970" width="10.25" bestFit="1" customWidth="1"/>
    <col min="9217" max="9217" width="33.875" customWidth="1"/>
    <col min="9220" max="9220" width="9.5" bestFit="1" customWidth="1"/>
    <col min="9224" max="9224" width="9.5" bestFit="1" customWidth="1"/>
    <col min="9226" max="9226" width="10.25" bestFit="1" customWidth="1"/>
    <col min="9473" max="9473" width="33.875" customWidth="1"/>
    <col min="9476" max="9476" width="9.5" bestFit="1" customWidth="1"/>
    <col min="9480" max="9480" width="9.5" bestFit="1" customWidth="1"/>
    <col min="9482" max="9482" width="10.25" bestFit="1" customWidth="1"/>
    <col min="9729" max="9729" width="33.875" customWidth="1"/>
    <col min="9732" max="9732" width="9.5" bestFit="1" customWidth="1"/>
    <col min="9736" max="9736" width="9.5" bestFit="1" customWidth="1"/>
    <col min="9738" max="9738" width="10.25" bestFit="1" customWidth="1"/>
    <col min="9985" max="9985" width="33.875" customWidth="1"/>
    <col min="9988" max="9988" width="9.5" bestFit="1" customWidth="1"/>
    <col min="9992" max="9992" width="9.5" bestFit="1" customWidth="1"/>
    <col min="9994" max="9994" width="10.25" bestFit="1" customWidth="1"/>
    <col min="10241" max="10241" width="33.875" customWidth="1"/>
    <col min="10244" max="10244" width="9.5" bestFit="1" customWidth="1"/>
    <col min="10248" max="10248" width="9.5" bestFit="1" customWidth="1"/>
    <col min="10250" max="10250" width="10.25" bestFit="1" customWidth="1"/>
    <col min="10497" max="10497" width="33.875" customWidth="1"/>
    <col min="10500" max="10500" width="9.5" bestFit="1" customWidth="1"/>
    <col min="10504" max="10504" width="9.5" bestFit="1" customWidth="1"/>
    <col min="10506" max="10506" width="10.25" bestFit="1" customWidth="1"/>
    <col min="10753" max="10753" width="33.875" customWidth="1"/>
    <col min="10756" max="10756" width="9.5" bestFit="1" customWidth="1"/>
    <col min="10760" max="10760" width="9.5" bestFit="1" customWidth="1"/>
    <col min="10762" max="10762" width="10.25" bestFit="1" customWidth="1"/>
    <col min="11009" max="11009" width="33.875" customWidth="1"/>
    <col min="11012" max="11012" width="9.5" bestFit="1" customWidth="1"/>
    <col min="11016" max="11016" width="9.5" bestFit="1" customWidth="1"/>
    <col min="11018" max="11018" width="10.25" bestFit="1" customWidth="1"/>
    <col min="11265" max="11265" width="33.875" customWidth="1"/>
    <col min="11268" max="11268" width="9.5" bestFit="1" customWidth="1"/>
    <col min="11272" max="11272" width="9.5" bestFit="1" customWidth="1"/>
    <col min="11274" max="11274" width="10.25" bestFit="1" customWidth="1"/>
    <col min="11521" max="11521" width="33.875" customWidth="1"/>
    <col min="11524" max="11524" width="9.5" bestFit="1" customWidth="1"/>
    <col min="11528" max="11528" width="9.5" bestFit="1" customWidth="1"/>
    <col min="11530" max="11530" width="10.25" bestFit="1" customWidth="1"/>
    <col min="11777" max="11777" width="33.875" customWidth="1"/>
    <col min="11780" max="11780" width="9.5" bestFit="1" customWidth="1"/>
    <col min="11784" max="11784" width="9.5" bestFit="1" customWidth="1"/>
    <col min="11786" max="11786" width="10.25" bestFit="1" customWidth="1"/>
    <col min="12033" max="12033" width="33.875" customWidth="1"/>
    <col min="12036" max="12036" width="9.5" bestFit="1" customWidth="1"/>
    <col min="12040" max="12040" width="9.5" bestFit="1" customWidth="1"/>
    <col min="12042" max="12042" width="10.25" bestFit="1" customWidth="1"/>
    <col min="12289" max="12289" width="33.875" customWidth="1"/>
    <col min="12292" max="12292" width="9.5" bestFit="1" customWidth="1"/>
    <col min="12296" max="12296" width="9.5" bestFit="1" customWidth="1"/>
    <col min="12298" max="12298" width="10.25" bestFit="1" customWidth="1"/>
    <col min="12545" max="12545" width="33.875" customWidth="1"/>
    <col min="12548" max="12548" width="9.5" bestFit="1" customWidth="1"/>
    <col min="12552" max="12552" width="9.5" bestFit="1" customWidth="1"/>
    <col min="12554" max="12554" width="10.25" bestFit="1" customWidth="1"/>
    <col min="12801" max="12801" width="33.875" customWidth="1"/>
    <col min="12804" max="12804" width="9.5" bestFit="1" customWidth="1"/>
    <col min="12808" max="12808" width="9.5" bestFit="1" customWidth="1"/>
    <col min="12810" max="12810" width="10.25" bestFit="1" customWidth="1"/>
    <col min="13057" max="13057" width="33.875" customWidth="1"/>
    <col min="13060" max="13060" width="9.5" bestFit="1" customWidth="1"/>
    <col min="13064" max="13064" width="9.5" bestFit="1" customWidth="1"/>
    <col min="13066" max="13066" width="10.25" bestFit="1" customWidth="1"/>
    <col min="13313" max="13313" width="33.875" customWidth="1"/>
    <col min="13316" max="13316" width="9.5" bestFit="1" customWidth="1"/>
    <col min="13320" max="13320" width="9.5" bestFit="1" customWidth="1"/>
    <col min="13322" max="13322" width="10.25" bestFit="1" customWidth="1"/>
    <col min="13569" max="13569" width="33.875" customWidth="1"/>
    <col min="13572" max="13572" width="9.5" bestFit="1" customWidth="1"/>
    <col min="13576" max="13576" width="9.5" bestFit="1" customWidth="1"/>
    <col min="13578" max="13578" width="10.25" bestFit="1" customWidth="1"/>
    <col min="13825" max="13825" width="33.875" customWidth="1"/>
    <col min="13828" max="13828" width="9.5" bestFit="1" customWidth="1"/>
    <col min="13832" max="13832" width="9.5" bestFit="1" customWidth="1"/>
    <col min="13834" max="13834" width="10.25" bestFit="1" customWidth="1"/>
    <col min="14081" max="14081" width="33.875" customWidth="1"/>
    <col min="14084" max="14084" width="9.5" bestFit="1" customWidth="1"/>
    <col min="14088" max="14088" width="9.5" bestFit="1" customWidth="1"/>
    <col min="14090" max="14090" width="10.25" bestFit="1" customWidth="1"/>
    <col min="14337" max="14337" width="33.875" customWidth="1"/>
    <col min="14340" max="14340" width="9.5" bestFit="1" customWidth="1"/>
    <col min="14344" max="14344" width="9.5" bestFit="1" customWidth="1"/>
    <col min="14346" max="14346" width="10.25" bestFit="1" customWidth="1"/>
    <col min="14593" max="14593" width="33.875" customWidth="1"/>
    <col min="14596" max="14596" width="9.5" bestFit="1" customWidth="1"/>
    <col min="14600" max="14600" width="9.5" bestFit="1" customWidth="1"/>
    <col min="14602" max="14602" width="10.25" bestFit="1" customWidth="1"/>
    <col min="14849" max="14849" width="33.875" customWidth="1"/>
    <col min="14852" max="14852" width="9.5" bestFit="1" customWidth="1"/>
    <col min="14856" max="14856" width="9.5" bestFit="1" customWidth="1"/>
    <col min="14858" max="14858" width="10.25" bestFit="1" customWidth="1"/>
    <col min="15105" max="15105" width="33.875" customWidth="1"/>
    <col min="15108" max="15108" width="9.5" bestFit="1" customWidth="1"/>
    <col min="15112" max="15112" width="9.5" bestFit="1" customWidth="1"/>
    <col min="15114" max="15114" width="10.25" bestFit="1" customWidth="1"/>
    <col min="15361" max="15361" width="33.875" customWidth="1"/>
    <col min="15364" max="15364" width="9.5" bestFit="1" customWidth="1"/>
    <col min="15368" max="15368" width="9.5" bestFit="1" customWidth="1"/>
    <col min="15370" max="15370" width="10.25" bestFit="1" customWidth="1"/>
    <col min="15617" max="15617" width="33.875" customWidth="1"/>
    <col min="15620" max="15620" width="9.5" bestFit="1" customWidth="1"/>
    <col min="15624" max="15624" width="9.5" bestFit="1" customWidth="1"/>
    <col min="15626" max="15626" width="10.25" bestFit="1" customWidth="1"/>
    <col min="15873" max="15873" width="33.875" customWidth="1"/>
    <col min="15876" max="15876" width="9.5" bestFit="1" customWidth="1"/>
    <col min="15880" max="15880" width="9.5" bestFit="1" customWidth="1"/>
    <col min="15882" max="15882" width="10.25" bestFit="1" customWidth="1"/>
    <col min="16129" max="16129" width="33.875" customWidth="1"/>
    <col min="16132" max="16132" width="9.5" bestFit="1" customWidth="1"/>
    <col min="16136" max="16136" width="9.5" bestFit="1" customWidth="1"/>
    <col min="16138" max="16138" width="10.25" bestFit="1" customWidth="1"/>
  </cols>
  <sheetData>
    <row r="1" spans="1:20" ht="15" customHeight="1">
      <c r="A1" s="538" t="s">
        <v>458</v>
      </c>
      <c r="B1" s="535" t="s">
        <v>12</v>
      </c>
      <c r="C1" s="536"/>
      <c r="D1" s="536"/>
      <c r="E1" s="536"/>
      <c r="F1" s="536"/>
      <c r="G1" s="536"/>
      <c r="H1" s="536"/>
      <c r="I1" s="536"/>
      <c r="J1" s="537"/>
      <c r="K1" s="535" t="s">
        <v>193</v>
      </c>
      <c r="L1" s="536"/>
      <c r="M1" s="536"/>
      <c r="N1" s="536"/>
      <c r="O1" s="536"/>
      <c r="P1" s="536"/>
      <c r="Q1" s="536"/>
      <c r="R1" s="536"/>
      <c r="S1" s="537"/>
      <c r="T1" s="381" t="s">
        <v>102</v>
      </c>
    </row>
    <row r="2" spans="1:20">
      <c r="A2" s="540"/>
      <c r="B2" s="535" t="s">
        <v>10</v>
      </c>
      <c r="C2" s="537"/>
      <c r="D2" s="535" t="s">
        <v>13</v>
      </c>
      <c r="E2" s="537"/>
      <c r="F2" s="535" t="s">
        <v>14</v>
      </c>
      <c r="G2" s="537"/>
      <c r="H2" s="337" t="s">
        <v>15</v>
      </c>
      <c r="I2" s="337" t="s">
        <v>16</v>
      </c>
      <c r="J2" s="538" t="s">
        <v>4</v>
      </c>
      <c r="K2" s="535" t="s">
        <v>10</v>
      </c>
      <c r="L2" s="537"/>
      <c r="M2" s="535" t="s">
        <v>13</v>
      </c>
      <c r="N2" s="537"/>
      <c r="O2" s="535" t="s">
        <v>14</v>
      </c>
      <c r="P2" s="537"/>
      <c r="Q2" s="337" t="s">
        <v>15</v>
      </c>
      <c r="R2" s="337" t="s">
        <v>16</v>
      </c>
      <c r="S2" s="538" t="s">
        <v>4</v>
      </c>
      <c r="T2" s="338" t="s">
        <v>99</v>
      </c>
    </row>
    <row r="3" spans="1:20" ht="17.25" customHeight="1">
      <c r="A3" s="539"/>
      <c r="B3" s="337" t="s">
        <v>103</v>
      </c>
      <c r="C3" s="337" t="s">
        <v>104</v>
      </c>
      <c r="D3" s="337" t="s">
        <v>105</v>
      </c>
      <c r="E3" s="337" t="s">
        <v>106</v>
      </c>
      <c r="F3" s="337" t="s">
        <v>107</v>
      </c>
      <c r="G3" s="337" t="s">
        <v>108</v>
      </c>
      <c r="H3" s="337" t="s">
        <v>109</v>
      </c>
      <c r="I3" s="337" t="s">
        <v>110</v>
      </c>
      <c r="J3" s="539"/>
      <c r="K3" s="337" t="s">
        <v>103</v>
      </c>
      <c r="L3" s="337" t="s">
        <v>104</v>
      </c>
      <c r="M3" s="337" t="s">
        <v>105</v>
      </c>
      <c r="N3" s="337" t="s">
        <v>106</v>
      </c>
      <c r="O3" s="337" t="s">
        <v>107</v>
      </c>
      <c r="P3" s="337" t="s">
        <v>108</v>
      </c>
      <c r="Q3" s="337" t="s">
        <v>109</v>
      </c>
      <c r="R3" s="337" t="s">
        <v>110</v>
      </c>
      <c r="S3" s="539"/>
      <c r="T3" s="340"/>
    </row>
    <row r="4" spans="1:20" ht="28.5">
      <c r="A4" s="291" t="s">
        <v>356</v>
      </c>
      <c r="B4" s="292" t="s">
        <v>411</v>
      </c>
      <c r="C4" s="292" t="s">
        <v>411</v>
      </c>
      <c r="D4" s="293">
        <v>949800</v>
      </c>
      <c r="E4" s="292" t="s">
        <v>411</v>
      </c>
      <c r="F4" s="293">
        <v>71990</v>
      </c>
      <c r="G4" s="292" t="s">
        <v>411</v>
      </c>
      <c r="H4" s="293">
        <v>40000</v>
      </c>
      <c r="I4" s="293">
        <v>40000</v>
      </c>
      <c r="J4" s="293">
        <v>1101790</v>
      </c>
      <c r="K4" s="292" t="s">
        <v>411</v>
      </c>
      <c r="L4" s="292" t="s">
        <v>411</v>
      </c>
      <c r="M4" s="293">
        <v>898858</v>
      </c>
      <c r="N4" s="292" t="s">
        <v>411</v>
      </c>
      <c r="O4" s="293">
        <v>71990</v>
      </c>
      <c r="P4" s="292" t="s">
        <v>411</v>
      </c>
      <c r="Q4" s="293">
        <v>24000</v>
      </c>
      <c r="R4" s="293">
        <v>39980</v>
      </c>
      <c r="S4" s="293">
        <v>1034828</v>
      </c>
      <c r="T4" s="294">
        <v>0.93920000000000003</v>
      </c>
    </row>
    <row r="5" spans="1:20" ht="42.75">
      <c r="A5" s="291" t="s">
        <v>207</v>
      </c>
      <c r="B5" s="292" t="s">
        <v>411</v>
      </c>
      <c r="C5" s="292" t="s">
        <v>411</v>
      </c>
      <c r="D5" s="293">
        <v>1026000</v>
      </c>
      <c r="E5" s="292" t="s">
        <v>411</v>
      </c>
      <c r="F5" s="292" t="s">
        <v>411</v>
      </c>
      <c r="G5" s="292" t="s">
        <v>411</v>
      </c>
      <c r="H5" s="293">
        <v>28451600</v>
      </c>
      <c r="I5" s="293">
        <v>150900</v>
      </c>
      <c r="J5" s="293">
        <v>29628500</v>
      </c>
      <c r="K5" s="292" t="s">
        <v>411</v>
      </c>
      <c r="L5" s="292" t="s">
        <v>411</v>
      </c>
      <c r="M5" s="293">
        <v>603124.34</v>
      </c>
      <c r="N5" s="292" t="s">
        <v>411</v>
      </c>
      <c r="O5" s="292" t="s">
        <v>411</v>
      </c>
      <c r="P5" s="292" t="s">
        <v>411</v>
      </c>
      <c r="Q5" s="293">
        <v>18460400.190000001</v>
      </c>
      <c r="R5" s="293">
        <v>150863.4</v>
      </c>
      <c r="S5" s="293">
        <v>19214387.93</v>
      </c>
      <c r="T5" s="294">
        <v>0.64849999999999997</v>
      </c>
    </row>
    <row r="6" spans="1:20" ht="42.75">
      <c r="A6" s="291" t="s">
        <v>270</v>
      </c>
      <c r="B6" s="292" t="s">
        <v>411</v>
      </c>
      <c r="C6" s="292" t="s">
        <v>411</v>
      </c>
      <c r="D6" s="293">
        <v>4698410</v>
      </c>
      <c r="E6" s="293">
        <v>3000</v>
      </c>
      <c r="F6" s="293">
        <v>64600</v>
      </c>
      <c r="G6" s="292" t="s">
        <v>411</v>
      </c>
      <c r="H6" s="293">
        <v>171000</v>
      </c>
      <c r="I6" s="293">
        <v>244320</v>
      </c>
      <c r="J6" s="293">
        <v>5181330</v>
      </c>
      <c r="K6" s="292" t="s">
        <v>411</v>
      </c>
      <c r="L6" s="292" t="s">
        <v>411</v>
      </c>
      <c r="M6" s="293">
        <v>3811742.95</v>
      </c>
      <c r="N6" s="293">
        <v>3000</v>
      </c>
      <c r="O6" s="293">
        <v>64600</v>
      </c>
      <c r="P6" s="292" t="s">
        <v>411</v>
      </c>
      <c r="Q6" s="293">
        <v>160000</v>
      </c>
      <c r="R6" s="293">
        <v>240300</v>
      </c>
      <c r="S6" s="293">
        <v>4279642.95</v>
      </c>
      <c r="T6" s="294">
        <v>0.82599999999999996</v>
      </c>
    </row>
    <row r="7" spans="1:20" ht="42.75">
      <c r="A7" s="291" t="s">
        <v>269</v>
      </c>
      <c r="B7" s="292" t="s">
        <v>411</v>
      </c>
      <c r="C7" s="292" t="s">
        <v>411</v>
      </c>
      <c r="D7" s="293">
        <v>13656887.199999999</v>
      </c>
      <c r="E7" s="293">
        <v>23200</v>
      </c>
      <c r="F7" s="293">
        <v>152750</v>
      </c>
      <c r="G7" s="292" t="s">
        <v>411</v>
      </c>
      <c r="H7" s="293">
        <v>726500</v>
      </c>
      <c r="I7" s="293">
        <v>195400</v>
      </c>
      <c r="J7" s="293">
        <v>14754737.199999999</v>
      </c>
      <c r="K7" s="292" t="s">
        <v>411</v>
      </c>
      <c r="L7" s="292" t="s">
        <v>411</v>
      </c>
      <c r="M7" s="293">
        <v>9832527.6099999994</v>
      </c>
      <c r="N7" s="293">
        <v>18729.009999999998</v>
      </c>
      <c r="O7" s="293">
        <v>141640</v>
      </c>
      <c r="P7" s="292" t="s">
        <v>411</v>
      </c>
      <c r="Q7" s="293">
        <v>560201.19999999995</v>
      </c>
      <c r="R7" s="293">
        <v>158233.39000000001</v>
      </c>
      <c r="S7" s="293">
        <v>10711331.210000001</v>
      </c>
      <c r="T7" s="294">
        <v>0.72599999999999998</v>
      </c>
    </row>
    <row r="8" spans="1:20" s="273" customFormat="1">
      <c r="A8" s="407">
        <v>1</v>
      </c>
      <c r="B8" s="316">
        <f>SUM(B4:B7)</f>
        <v>0</v>
      </c>
      <c r="C8" s="316">
        <f t="shared" ref="C8:S8" si="0">SUM(C4:C7)</f>
        <v>0</v>
      </c>
      <c r="D8" s="316">
        <f t="shared" si="0"/>
        <v>20331097.199999999</v>
      </c>
      <c r="E8" s="316">
        <f t="shared" si="0"/>
        <v>26200</v>
      </c>
      <c r="F8" s="316">
        <f t="shared" si="0"/>
        <v>289340</v>
      </c>
      <c r="G8" s="316">
        <f t="shared" si="0"/>
        <v>0</v>
      </c>
      <c r="H8" s="316">
        <f t="shared" si="0"/>
        <v>29389100</v>
      </c>
      <c r="I8" s="316">
        <f t="shared" si="0"/>
        <v>630620</v>
      </c>
      <c r="J8" s="316">
        <f t="shared" si="0"/>
        <v>50666357.200000003</v>
      </c>
      <c r="K8" s="316">
        <f t="shared" si="0"/>
        <v>0</v>
      </c>
      <c r="L8" s="316">
        <f t="shared" si="0"/>
        <v>0</v>
      </c>
      <c r="M8" s="316">
        <f t="shared" si="0"/>
        <v>15146252.899999999</v>
      </c>
      <c r="N8" s="316">
        <f t="shared" si="0"/>
        <v>21729.01</v>
      </c>
      <c r="O8" s="316">
        <f t="shared" si="0"/>
        <v>278230</v>
      </c>
      <c r="P8" s="316">
        <f t="shared" si="0"/>
        <v>0</v>
      </c>
      <c r="Q8" s="316">
        <f t="shared" si="0"/>
        <v>19204601.390000001</v>
      </c>
      <c r="R8" s="316">
        <f t="shared" si="0"/>
        <v>589376.79</v>
      </c>
      <c r="S8" s="316">
        <f t="shared" si="0"/>
        <v>35240190.090000004</v>
      </c>
      <c r="T8" s="318"/>
    </row>
    <row r="9" spans="1:20" s="273" customFormat="1" ht="28.5">
      <c r="A9" s="407" t="s">
        <v>271</v>
      </c>
      <c r="B9" s="316" t="s">
        <v>411</v>
      </c>
      <c r="C9" s="316" t="s">
        <v>411</v>
      </c>
      <c r="D9" s="317">
        <v>444300</v>
      </c>
      <c r="E9" s="317">
        <v>3000</v>
      </c>
      <c r="F9" s="316" t="s">
        <v>411</v>
      </c>
      <c r="G9" s="316" t="s">
        <v>411</v>
      </c>
      <c r="H9" s="317">
        <v>1542000</v>
      </c>
      <c r="I9" s="317">
        <v>10700</v>
      </c>
      <c r="J9" s="317">
        <v>2000000</v>
      </c>
      <c r="K9" s="316" t="s">
        <v>411</v>
      </c>
      <c r="L9" s="316" t="s">
        <v>411</v>
      </c>
      <c r="M9" s="317">
        <v>444221</v>
      </c>
      <c r="N9" s="317">
        <v>3000</v>
      </c>
      <c r="O9" s="316" t="s">
        <v>411</v>
      </c>
      <c r="P9" s="316" t="s">
        <v>411</v>
      </c>
      <c r="Q9" s="317">
        <v>1341000</v>
      </c>
      <c r="R9" s="316" t="s">
        <v>411</v>
      </c>
      <c r="S9" s="317">
        <v>1788221</v>
      </c>
      <c r="T9" s="318">
        <v>0.89410000000000001</v>
      </c>
    </row>
    <row r="10" spans="1:20" ht="28.5">
      <c r="A10" s="287" t="s">
        <v>208</v>
      </c>
      <c r="B10" s="288" t="s">
        <v>411</v>
      </c>
      <c r="C10" s="288" t="s">
        <v>411</v>
      </c>
      <c r="D10" s="289">
        <v>250000</v>
      </c>
      <c r="E10" s="288" t="s">
        <v>411</v>
      </c>
      <c r="F10" s="288" t="s">
        <v>411</v>
      </c>
      <c r="G10" s="288" t="s">
        <v>411</v>
      </c>
      <c r="H10" s="288" t="s">
        <v>411</v>
      </c>
      <c r="I10" s="289">
        <v>1646400</v>
      </c>
      <c r="J10" s="289">
        <v>1896400</v>
      </c>
      <c r="K10" s="288" t="s">
        <v>411</v>
      </c>
      <c r="L10" s="288" t="s">
        <v>411</v>
      </c>
      <c r="M10" s="289">
        <v>219433</v>
      </c>
      <c r="N10" s="288" t="s">
        <v>411</v>
      </c>
      <c r="O10" s="288" t="s">
        <v>411</v>
      </c>
      <c r="P10" s="288" t="s">
        <v>411</v>
      </c>
      <c r="Q10" s="288" t="s">
        <v>411</v>
      </c>
      <c r="R10" s="289">
        <v>323088.33</v>
      </c>
      <c r="S10" s="289">
        <v>542521.32999999996</v>
      </c>
      <c r="T10" s="290">
        <v>0.28610000000000002</v>
      </c>
    </row>
    <row r="11" spans="1:20" ht="28.5">
      <c r="A11" s="291" t="s">
        <v>208</v>
      </c>
      <c r="B11" s="292" t="s">
        <v>411</v>
      </c>
      <c r="C11" s="292" t="s">
        <v>411</v>
      </c>
      <c r="D11" s="293">
        <v>2788700</v>
      </c>
      <c r="E11" s="292" t="s">
        <v>411</v>
      </c>
      <c r="F11" s="292" t="s">
        <v>411</v>
      </c>
      <c r="G11" s="292" t="s">
        <v>411</v>
      </c>
      <c r="H11" s="292" t="s">
        <v>411</v>
      </c>
      <c r="I11" s="292" t="s">
        <v>411</v>
      </c>
      <c r="J11" s="293">
        <v>2788700</v>
      </c>
      <c r="K11" s="292" t="s">
        <v>411</v>
      </c>
      <c r="L11" s="292" t="s">
        <v>411</v>
      </c>
      <c r="M11" s="293">
        <v>1043936</v>
      </c>
      <c r="N11" s="292" t="s">
        <v>411</v>
      </c>
      <c r="O11" s="292" t="s">
        <v>411</v>
      </c>
      <c r="P11" s="292" t="s">
        <v>411</v>
      </c>
      <c r="Q11" s="292" t="s">
        <v>411</v>
      </c>
      <c r="R11" s="292" t="s">
        <v>411</v>
      </c>
      <c r="S11" s="293">
        <v>1043936</v>
      </c>
      <c r="T11" s="294">
        <v>0.37430000000000002</v>
      </c>
    </row>
    <row r="12" spans="1:20" s="273" customFormat="1">
      <c r="A12" s="407">
        <v>3</v>
      </c>
      <c r="B12" s="316">
        <f>SUM(B10:B11)</f>
        <v>0</v>
      </c>
      <c r="C12" s="316">
        <f t="shared" ref="C12:S12" si="1">SUM(C10:C11)</f>
        <v>0</v>
      </c>
      <c r="D12" s="316">
        <f t="shared" si="1"/>
        <v>3038700</v>
      </c>
      <c r="E12" s="316">
        <f t="shared" si="1"/>
        <v>0</v>
      </c>
      <c r="F12" s="316">
        <f t="shared" si="1"/>
        <v>0</v>
      </c>
      <c r="G12" s="316">
        <f t="shared" si="1"/>
        <v>0</v>
      </c>
      <c r="H12" s="316">
        <f t="shared" si="1"/>
        <v>0</v>
      </c>
      <c r="I12" s="316">
        <f t="shared" si="1"/>
        <v>1646400</v>
      </c>
      <c r="J12" s="316">
        <f t="shared" si="1"/>
        <v>4685100</v>
      </c>
      <c r="K12" s="316">
        <f t="shared" si="1"/>
        <v>0</v>
      </c>
      <c r="L12" s="316">
        <f t="shared" si="1"/>
        <v>0</v>
      </c>
      <c r="M12" s="316">
        <f t="shared" si="1"/>
        <v>1263369</v>
      </c>
      <c r="N12" s="316">
        <f t="shared" si="1"/>
        <v>0</v>
      </c>
      <c r="O12" s="316">
        <f t="shared" si="1"/>
        <v>0</v>
      </c>
      <c r="P12" s="316">
        <f t="shared" si="1"/>
        <v>0</v>
      </c>
      <c r="Q12" s="316">
        <f t="shared" si="1"/>
        <v>0</v>
      </c>
      <c r="R12" s="316">
        <f t="shared" si="1"/>
        <v>323088.33</v>
      </c>
      <c r="S12" s="316">
        <f t="shared" si="1"/>
        <v>1586457.33</v>
      </c>
      <c r="T12" s="318"/>
    </row>
    <row r="13" spans="1:20" s="273" customFormat="1" ht="42.75">
      <c r="A13" s="407" t="s">
        <v>209</v>
      </c>
      <c r="B13" s="316" t="s">
        <v>411</v>
      </c>
      <c r="C13" s="316" t="s">
        <v>411</v>
      </c>
      <c r="D13" s="317">
        <v>811500</v>
      </c>
      <c r="E13" s="317">
        <v>7500</v>
      </c>
      <c r="F13" s="316" t="s">
        <v>411</v>
      </c>
      <c r="G13" s="316" t="s">
        <v>411</v>
      </c>
      <c r="H13" s="316" t="s">
        <v>411</v>
      </c>
      <c r="I13" s="317">
        <v>12000</v>
      </c>
      <c r="J13" s="317">
        <v>831000</v>
      </c>
      <c r="K13" s="316" t="s">
        <v>411</v>
      </c>
      <c r="L13" s="316" t="s">
        <v>411</v>
      </c>
      <c r="M13" s="317">
        <v>802818</v>
      </c>
      <c r="N13" s="317">
        <v>6600</v>
      </c>
      <c r="O13" s="316" t="s">
        <v>411</v>
      </c>
      <c r="P13" s="316" t="s">
        <v>411</v>
      </c>
      <c r="Q13" s="316" t="s">
        <v>411</v>
      </c>
      <c r="R13" s="316" t="s">
        <v>411</v>
      </c>
      <c r="S13" s="317">
        <v>809418</v>
      </c>
      <c r="T13" s="318">
        <v>0.97399999999999998</v>
      </c>
    </row>
    <row r="14" spans="1:20" ht="28.5">
      <c r="A14" s="291" t="s">
        <v>357</v>
      </c>
      <c r="B14" s="292" t="s">
        <v>411</v>
      </c>
      <c r="C14" s="292" t="s">
        <v>411</v>
      </c>
      <c r="D14" s="293">
        <v>50800</v>
      </c>
      <c r="E14" s="292" t="s">
        <v>411</v>
      </c>
      <c r="F14" s="292" t="s">
        <v>411</v>
      </c>
      <c r="G14" s="292" t="s">
        <v>411</v>
      </c>
      <c r="H14" s="292" t="s">
        <v>411</v>
      </c>
      <c r="I14" s="293">
        <v>51900</v>
      </c>
      <c r="J14" s="293">
        <v>102700</v>
      </c>
      <c r="K14" s="292" t="s">
        <v>411</v>
      </c>
      <c r="L14" s="292" t="s">
        <v>411</v>
      </c>
      <c r="M14" s="293">
        <v>40140</v>
      </c>
      <c r="N14" s="292" t="s">
        <v>411</v>
      </c>
      <c r="O14" s="292" t="s">
        <v>411</v>
      </c>
      <c r="P14" s="292" t="s">
        <v>411</v>
      </c>
      <c r="Q14" s="292" t="s">
        <v>411</v>
      </c>
      <c r="R14" s="293">
        <v>45900</v>
      </c>
      <c r="S14" s="293">
        <v>86040</v>
      </c>
      <c r="T14" s="294">
        <v>0.83779999999999999</v>
      </c>
    </row>
    <row r="15" spans="1:20" ht="28.5">
      <c r="A15" s="287" t="s">
        <v>272</v>
      </c>
      <c r="B15" s="288" t="s">
        <v>411</v>
      </c>
      <c r="C15" s="288" t="s">
        <v>411</v>
      </c>
      <c r="D15" s="289">
        <v>11046385.210000001</v>
      </c>
      <c r="E15" s="289">
        <v>555100</v>
      </c>
      <c r="F15" s="289">
        <v>963642</v>
      </c>
      <c r="G15" s="289">
        <v>3327620</v>
      </c>
      <c r="H15" s="289">
        <v>3983000</v>
      </c>
      <c r="I15" s="289">
        <v>5217539.79</v>
      </c>
      <c r="J15" s="289">
        <v>25093287</v>
      </c>
      <c r="K15" s="288" t="s">
        <v>411</v>
      </c>
      <c r="L15" s="288" t="s">
        <v>411</v>
      </c>
      <c r="M15" s="289">
        <v>9625009.4000000004</v>
      </c>
      <c r="N15" s="289">
        <v>533126.93000000005</v>
      </c>
      <c r="O15" s="289">
        <v>315230</v>
      </c>
      <c r="P15" s="289">
        <v>3318420</v>
      </c>
      <c r="Q15" s="289">
        <v>3825300</v>
      </c>
      <c r="R15" s="289">
        <v>4510962.91</v>
      </c>
      <c r="S15" s="289">
        <v>22128049.239999998</v>
      </c>
      <c r="T15" s="290">
        <v>0.88180000000000003</v>
      </c>
    </row>
    <row r="16" spans="1:20" ht="28.5">
      <c r="A16" s="287" t="s">
        <v>273</v>
      </c>
      <c r="B16" s="288" t="s">
        <v>411</v>
      </c>
      <c r="C16" s="288" t="s">
        <v>411</v>
      </c>
      <c r="D16" s="289">
        <v>22985818.800000001</v>
      </c>
      <c r="E16" s="289">
        <v>63800</v>
      </c>
      <c r="F16" s="289">
        <v>127300</v>
      </c>
      <c r="G16" s="289">
        <v>149520</v>
      </c>
      <c r="H16" s="289">
        <v>30000</v>
      </c>
      <c r="I16" s="289">
        <v>88860</v>
      </c>
      <c r="J16" s="289">
        <v>23445298.800000001</v>
      </c>
      <c r="K16" s="288" t="s">
        <v>411</v>
      </c>
      <c r="L16" s="288" t="s">
        <v>411</v>
      </c>
      <c r="M16" s="289">
        <v>21695799.98</v>
      </c>
      <c r="N16" s="289">
        <v>31516.400000000001</v>
      </c>
      <c r="O16" s="289">
        <v>119415</v>
      </c>
      <c r="P16" s="289">
        <v>149520</v>
      </c>
      <c r="Q16" s="289">
        <v>30000</v>
      </c>
      <c r="R16" s="289">
        <v>63995</v>
      </c>
      <c r="S16" s="289">
        <v>22090246.379999999</v>
      </c>
      <c r="T16" s="290">
        <v>0.94220000000000004</v>
      </c>
    </row>
    <row r="17" spans="1:20" s="273" customFormat="1">
      <c r="A17" s="408">
        <v>5</v>
      </c>
      <c r="B17" s="409">
        <f>SUM(B14:B16)</f>
        <v>0</v>
      </c>
      <c r="C17" s="409">
        <f t="shared" ref="C17:S17" si="2">SUM(C14:C16)</f>
        <v>0</v>
      </c>
      <c r="D17" s="409">
        <f t="shared" si="2"/>
        <v>34083004.010000005</v>
      </c>
      <c r="E17" s="409">
        <f t="shared" si="2"/>
        <v>618900</v>
      </c>
      <c r="F17" s="409">
        <f t="shared" si="2"/>
        <v>1090942</v>
      </c>
      <c r="G17" s="409">
        <f t="shared" si="2"/>
        <v>3477140</v>
      </c>
      <c r="H17" s="409">
        <f t="shared" si="2"/>
        <v>4013000</v>
      </c>
      <c r="I17" s="409">
        <f t="shared" si="2"/>
        <v>5358299.79</v>
      </c>
      <c r="J17" s="409">
        <f t="shared" si="2"/>
        <v>48641285.799999997</v>
      </c>
      <c r="K17" s="409">
        <f t="shared" si="2"/>
        <v>0</v>
      </c>
      <c r="L17" s="409">
        <f t="shared" si="2"/>
        <v>0</v>
      </c>
      <c r="M17" s="409">
        <f t="shared" si="2"/>
        <v>31360949.380000003</v>
      </c>
      <c r="N17" s="409">
        <f t="shared" si="2"/>
        <v>564643.33000000007</v>
      </c>
      <c r="O17" s="409">
        <f t="shared" si="2"/>
        <v>434645</v>
      </c>
      <c r="P17" s="409">
        <f t="shared" si="2"/>
        <v>3467940</v>
      </c>
      <c r="Q17" s="409">
        <f t="shared" si="2"/>
        <v>3855300</v>
      </c>
      <c r="R17" s="409">
        <f t="shared" si="2"/>
        <v>4620857.91</v>
      </c>
      <c r="S17" s="409">
        <f t="shared" si="2"/>
        <v>44304335.619999997</v>
      </c>
      <c r="T17" s="410"/>
    </row>
    <row r="18" spans="1:20" ht="28.5">
      <c r="A18" s="291" t="s">
        <v>358</v>
      </c>
      <c r="B18" s="292" t="s">
        <v>411</v>
      </c>
      <c r="C18" s="292" t="s">
        <v>411</v>
      </c>
      <c r="D18" s="293">
        <v>4285354</v>
      </c>
      <c r="E18" s="292" t="s">
        <v>411</v>
      </c>
      <c r="F18" s="293">
        <v>58010</v>
      </c>
      <c r="G18" s="292" t="s">
        <v>411</v>
      </c>
      <c r="H18" s="292" t="s">
        <v>411</v>
      </c>
      <c r="I18" s="292" t="s">
        <v>411</v>
      </c>
      <c r="J18" s="293">
        <v>4343364</v>
      </c>
      <c r="K18" s="292" t="s">
        <v>411</v>
      </c>
      <c r="L18" s="292" t="s">
        <v>411</v>
      </c>
      <c r="M18" s="293">
        <v>2966070</v>
      </c>
      <c r="N18" s="292" t="s">
        <v>411</v>
      </c>
      <c r="O18" s="293">
        <v>58010</v>
      </c>
      <c r="P18" s="292" t="s">
        <v>411</v>
      </c>
      <c r="Q18" s="292" t="s">
        <v>411</v>
      </c>
      <c r="R18" s="292" t="s">
        <v>411</v>
      </c>
      <c r="S18" s="293">
        <v>3024080</v>
      </c>
      <c r="T18" s="294">
        <v>0.69630000000000003</v>
      </c>
    </row>
    <row r="19" spans="1:20" ht="21">
      <c r="A19" s="302" t="s">
        <v>4</v>
      </c>
      <c r="B19" s="305" t="s">
        <v>411</v>
      </c>
      <c r="C19" s="305" t="s">
        <v>411</v>
      </c>
      <c r="D19" s="303">
        <v>62993955.210000001</v>
      </c>
      <c r="E19" s="303">
        <v>655600</v>
      </c>
      <c r="F19" s="303">
        <v>1438292</v>
      </c>
      <c r="G19" s="303">
        <v>3477140</v>
      </c>
      <c r="H19" s="303">
        <v>34944100</v>
      </c>
      <c r="I19" s="303">
        <v>7658019.79</v>
      </c>
      <c r="J19" s="303">
        <v>111167107</v>
      </c>
      <c r="K19" s="305" t="s">
        <v>411</v>
      </c>
      <c r="L19" s="305" t="s">
        <v>411</v>
      </c>
      <c r="M19" s="303">
        <v>51983680.280000001</v>
      </c>
      <c r="N19" s="303">
        <v>595972.34</v>
      </c>
      <c r="O19" s="303">
        <v>770885</v>
      </c>
      <c r="P19" s="303">
        <v>3467940</v>
      </c>
      <c r="Q19" s="303">
        <v>24400901.390000001</v>
      </c>
      <c r="R19" s="303">
        <v>5533323.0300000003</v>
      </c>
      <c r="S19" s="303">
        <v>86752702.040000007</v>
      </c>
      <c r="T19" s="304">
        <v>0.78039999999999998</v>
      </c>
    </row>
    <row r="20" spans="1:20" ht="21">
      <c r="A20" s="295" t="s">
        <v>38</v>
      </c>
      <c r="B20" s="301" t="s">
        <v>411</v>
      </c>
      <c r="C20" s="301" t="s">
        <v>411</v>
      </c>
      <c r="D20" s="296">
        <v>62993955.210000001</v>
      </c>
      <c r="E20" s="296">
        <v>655600</v>
      </c>
      <c r="F20" s="296">
        <v>1438292</v>
      </c>
      <c r="G20" s="296">
        <v>3477140</v>
      </c>
      <c r="H20" s="296">
        <v>34944100</v>
      </c>
      <c r="I20" s="296">
        <v>7658019.79</v>
      </c>
      <c r="J20" s="296">
        <v>111167107</v>
      </c>
      <c r="K20" s="301" t="s">
        <v>411</v>
      </c>
      <c r="L20" s="301" t="s">
        <v>411</v>
      </c>
      <c r="M20" s="296">
        <v>51983680.280000001</v>
      </c>
      <c r="N20" s="296">
        <v>595972.34</v>
      </c>
      <c r="O20" s="296">
        <v>770885</v>
      </c>
      <c r="P20" s="296">
        <v>3467940</v>
      </c>
      <c r="Q20" s="296">
        <v>24400901.390000001</v>
      </c>
      <c r="R20" s="296">
        <v>5533323.0300000003</v>
      </c>
      <c r="S20" s="296">
        <v>86752702.040000007</v>
      </c>
      <c r="T20" s="297">
        <v>0.78039999999999998</v>
      </c>
    </row>
    <row r="24" spans="1:20">
      <c r="J24" s="91">
        <f>SUM(J8:J9,J12:J13,J17,J18)</f>
        <v>111167107</v>
      </c>
      <c r="K24" s="91"/>
      <c r="L24" s="91"/>
      <c r="M24" s="91"/>
      <c r="N24" s="91"/>
      <c r="O24" s="91"/>
      <c r="P24" s="91"/>
      <c r="Q24" s="91"/>
      <c r="R24" s="91"/>
      <c r="S24" s="91">
        <f t="shared" ref="S24" si="3">SUM(S8:S9,S12:S13,S17,S18)</f>
        <v>86752702.039999992</v>
      </c>
    </row>
  </sheetData>
  <sortState xmlns:xlrd2="http://schemas.microsoft.com/office/spreadsheetml/2017/richdata2" ref="A5:T18">
    <sortCondition ref="A5:A18"/>
  </sortState>
  <mergeCells count="11">
    <mergeCell ref="A1:A3"/>
    <mergeCell ref="B1:J1"/>
    <mergeCell ref="K1:S1"/>
    <mergeCell ref="B2:C2"/>
    <mergeCell ref="D2:E2"/>
    <mergeCell ref="F2:G2"/>
    <mergeCell ref="J2:J3"/>
    <mergeCell ref="K2:L2"/>
    <mergeCell ref="M2:N2"/>
    <mergeCell ref="O2:P2"/>
    <mergeCell ref="S2:S3"/>
  </mergeCells>
  <hyperlinks>
    <hyperlink ref="A5" r:id="rId1" tooltip="ประเด็นกลยุทธ์ที่" display="http://3dgf.lpru.ac.th/bgreport1/BG2562/SubBudgetPlan.php?Plan=2&amp;BudgetYear=2562&amp;ProjectID=01001&amp;PlanN=%E0%A7%D4%B9%C3%D2%C2%E4%B4%E9" xr:uid="{7DCFBF1B-5CE8-4F0F-AF24-7CE225CF59E9}"/>
    <hyperlink ref="A7" r:id="rId2" tooltip="ประเด็นกลยุทธ์ที่" display="http://3dgf.lpru.ac.th/bgreport1/BG2562/SubBudgetPlan.php?Plan=2&amp;BudgetYear=2562&amp;ProjectID=02001&amp;PlanN=%E0%A7%D4%B9%C3%D2%C2%E4%B4%E9" xr:uid="{31067FC2-EFBB-43CA-B9E6-094393DE9EA8}"/>
    <hyperlink ref="A16" r:id="rId3" tooltip="ประเด็นกลยุทธ์ที่" display="http://3dgf.lpru.ac.th/bgreport1/BG2562/SubBudgetPlan.php?Plan=2&amp;BudgetYear=2562&amp;ProjectID=02002&amp;PlanN=%E0%A7%D4%B9%C3%D2%C2%E4%B4%E9" xr:uid="{2AAE7DD1-F678-472B-893B-1D8B706226B6}"/>
    <hyperlink ref="A6" r:id="rId4" tooltip="ประเด็นกลยุทธ์ที่" display="http://3dgf.lpru.ac.th/bgreport1/BG2562/SubBudgetPlan.php?Plan=2&amp;BudgetYear=2562&amp;ProjectID=02101&amp;PlanN=%E0%A7%D4%B9%C3%D2%C2%E4%B4%E9" xr:uid="{6781EBD4-1DA4-4C15-A836-C268824CC03F}"/>
    <hyperlink ref="A15" r:id="rId5" tooltip="ประเด็นกลยุทธ์ที่" display="http://3dgf.lpru.ac.th/bgreport1/BG2562/SubBudgetPlan.php?Plan=2&amp;BudgetYear=2562&amp;ProjectID=02102&amp;PlanN=%E0%A7%D4%B9%C3%D2%C2%E4%B4%E9" xr:uid="{68266C00-830E-4A8F-AA55-77FC6AC62BD6}"/>
    <hyperlink ref="A18" r:id="rId6" tooltip="ประเด็นกลยุทธ์ที่" display="http://3dgf.lpru.ac.th/bgreport1/BG2562/SubBudgetPlan.php?Plan=2&amp;BudgetYear=2562&amp;ProjectID=02103&amp;PlanN=%E0%A7%D4%B9%C3%D2%C2%E4%B4%E9" xr:uid="{F24E2357-61BC-4F4B-9F12-9002BED79112}"/>
    <hyperlink ref="A13" r:id="rId7" tooltip="ประเด็นกลยุทธ์ที่" display="http://3dgf.lpru.ac.th/bgreport1/BG2562/SubBudgetPlan.php?Plan=2&amp;BudgetYear=2562&amp;ProjectID=02201&amp;PlanN=%E0%A7%D4%B9%C3%D2%C2%E4%B4%E9" xr:uid="{1936AEAD-22FC-470B-9B07-BAA752ABE68E}"/>
    <hyperlink ref="A4" r:id="rId8" tooltip="ประเด็นกลยุทธ์ที่" display="http://3dgf.lpru.ac.th/bgreport1/BG2562/SubBudgetPlan.php?Plan=2&amp;BudgetYear=2562&amp;ProjectID=03001&amp;PlanN=%E0%A7%D4%B9%C3%D2%C2%E4%B4%E9" xr:uid="{B2C2AD23-93BA-4F8A-BA73-452DFF5A793D}"/>
    <hyperlink ref="A10" r:id="rId9" tooltip="ประเด็นกลยุทธ์ที่" display="http://3dgf.lpru.ac.th/bgreport1/BG2562/SubBudgetPlan.php?Plan=2&amp;BudgetYear=2562&amp;ProjectID=03002&amp;PlanN=%E0%A7%D4%B9%C3%D2%C2%E4%B4%E9" xr:uid="{2A35E097-1FA7-44B7-B043-449FD3FB4ADD}"/>
    <hyperlink ref="A14" r:id="rId10" tooltip="ประเด็นกลยุทธ์ที่" display="http://3dgf.lpru.ac.th/bgreport1/BG2562/SubBudgetPlan.php?Plan=2&amp;BudgetYear=2562&amp;ProjectID=03003&amp;PlanN=%E0%A7%D4%B9%C3%D2%C2%E4%B4%E9" xr:uid="{67B7BA7F-515C-438C-A767-6C96B0EADCDF}"/>
    <hyperlink ref="A11" r:id="rId11" tooltip="ประเด็นกลยุทธ์ที่" display="http://3dgf.lpru.ac.th/bgreport1/BG2562/SubBudgetPlan.php?Plan=2&amp;BudgetYear=2562&amp;ProjectID=03101&amp;PlanN=%E0%A7%D4%B9%C3%D2%C2%E4%B4%E9" xr:uid="{D0AD5F25-F7F7-4B2E-9A72-BBC93BBF84CE}"/>
    <hyperlink ref="A9" r:id="rId12" tooltip="ประเด็นกลยุทธ์ที่" display="http://3dgf.lpru.ac.th/bgreport1/BG2562/SubBudgetPlan.php?Plan=2&amp;BudgetYear=2562&amp;ProjectID=04001&amp;PlanN=%E0%A7%D4%B9%C3%D2%C2%E4%B4%E9" xr:uid="{D3374485-0412-4C24-BDF7-C6A6560188E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4E057-03FD-4470-95FD-90ABEA16E7B8}">
  <dimension ref="A1:T110"/>
  <sheetViews>
    <sheetView zoomScale="110" zoomScaleNormal="110" workbookViewId="0">
      <pane xSplit="1" ySplit="3" topLeftCell="B4" activePane="bottomRight" state="frozen"/>
      <selection pane="topRight" activeCell="B1" sqref="B1"/>
      <selection pane="bottomLeft" activeCell="A4" sqref="A4"/>
      <selection pane="bottomRight" activeCell="E11" sqref="E11"/>
    </sheetView>
  </sheetViews>
  <sheetFormatPr defaultRowHeight="14.25"/>
  <cols>
    <col min="1" max="1" width="49.25" style="350" bestFit="1" customWidth="1"/>
    <col min="2" max="2" width="9.5" bestFit="1" customWidth="1"/>
    <col min="3" max="4" width="9.125" bestFit="1" customWidth="1"/>
    <col min="5" max="5" width="9.5" bestFit="1" customWidth="1"/>
    <col min="6" max="6" width="9.125" bestFit="1" customWidth="1"/>
    <col min="7" max="8" width="10.25" bestFit="1" customWidth="1"/>
    <col min="9" max="9" width="9.125" bestFit="1" customWidth="1"/>
    <col min="10" max="10" width="10.25" bestFit="1" customWidth="1"/>
    <col min="11" max="11" width="9.5" bestFit="1" customWidth="1"/>
    <col min="12" max="13" width="9.125" bestFit="1" customWidth="1"/>
    <col min="14" max="14" width="9.5" bestFit="1" customWidth="1"/>
    <col min="15" max="15" width="9.125" bestFit="1" customWidth="1"/>
    <col min="16" max="16" width="9.5" bestFit="1" customWidth="1"/>
    <col min="17" max="17" width="10.25" bestFit="1" customWidth="1"/>
    <col min="18" max="18" width="9.125" bestFit="1" customWidth="1"/>
    <col min="19" max="19" width="10.25" bestFit="1" customWidth="1"/>
    <col min="20" max="20" width="9.125" bestFit="1" customWidth="1"/>
    <col min="257" max="257" width="26" customWidth="1"/>
    <col min="513" max="513" width="26" customWidth="1"/>
    <col min="769" max="769" width="26" customWidth="1"/>
    <col min="1025" max="1025" width="26" customWidth="1"/>
    <col min="1281" max="1281" width="26" customWidth="1"/>
    <col min="1537" max="1537" width="26" customWidth="1"/>
    <col min="1793" max="1793" width="26" customWidth="1"/>
    <col min="2049" max="2049" width="26" customWidth="1"/>
    <col min="2305" max="2305" width="26" customWidth="1"/>
    <col min="2561" max="2561" width="26" customWidth="1"/>
    <col min="2817" max="2817" width="26" customWidth="1"/>
    <col min="3073" max="3073" width="26" customWidth="1"/>
    <col min="3329" max="3329" width="26" customWidth="1"/>
    <col min="3585" max="3585" width="26" customWidth="1"/>
    <col min="3841" max="3841" width="26" customWidth="1"/>
    <col min="4097" max="4097" width="26" customWidth="1"/>
    <col min="4353" max="4353" width="26" customWidth="1"/>
    <col min="4609" max="4609" width="26" customWidth="1"/>
    <col min="4865" max="4865" width="26" customWidth="1"/>
    <col min="5121" max="5121" width="26" customWidth="1"/>
    <col min="5377" max="5377" width="26" customWidth="1"/>
    <col min="5633" max="5633" width="26" customWidth="1"/>
    <col min="5889" max="5889" width="26" customWidth="1"/>
    <col min="6145" max="6145" width="26" customWidth="1"/>
    <col min="6401" max="6401" width="26" customWidth="1"/>
    <col min="6657" max="6657" width="26" customWidth="1"/>
    <col min="6913" max="6913" width="26" customWidth="1"/>
    <col min="7169" max="7169" width="26" customWidth="1"/>
    <col min="7425" max="7425" width="26" customWidth="1"/>
    <col min="7681" max="7681" width="26" customWidth="1"/>
    <col min="7937" max="7937" width="26" customWidth="1"/>
    <col min="8193" max="8193" width="26" customWidth="1"/>
    <col min="8449" max="8449" width="26" customWidth="1"/>
    <col min="8705" max="8705" width="26" customWidth="1"/>
    <col min="8961" max="8961" width="26" customWidth="1"/>
    <col min="9217" max="9217" width="26" customWidth="1"/>
    <col min="9473" max="9473" width="26" customWidth="1"/>
    <col min="9729" max="9729" width="26" customWidth="1"/>
    <col min="9985" max="9985" width="26" customWidth="1"/>
    <col min="10241" max="10241" width="26" customWidth="1"/>
    <col min="10497" max="10497" width="26" customWidth="1"/>
    <col min="10753" max="10753" width="26" customWidth="1"/>
    <col min="11009" max="11009" width="26" customWidth="1"/>
    <col min="11265" max="11265" width="26" customWidth="1"/>
    <col min="11521" max="11521" width="26" customWidth="1"/>
    <col min="11777" max="11777" width="26" customWidth="1"/>
    <col min="12033" max="12033" width="26" customWidth="1"/>
    <col min="12289" max="12289" width="26" customWidth="1"/>
    <col min="12545" max="12545" width="26" customWidth="1"/>
    <col min="12801" max="12801" width="26" customWidth="1"/>
    <col min="13057" max="13057" width="26" customWidth="1"/>
    <col min="13313" max="13313" width="26" customWidth="1"/>
    <col min="13569" max="13569" width="26" customWidth="1"/>
    <col min="13825" max="13825" width="26" customWidth="1"/>
    <col min="14081" max="14081" width="26" customWidth="1"/>
    <col min="14337" max="14337" width="26" customWidth="1"/>
    <col min="14593" max="14593" width="26" customWidth="1"/>
    <col min="14849" max="14849" width="26" customWidth="1"/>
    <col min="15105" max="15105" width="26" customWidth="1"/>
    <col min="15361" max="15361" width="26" customWidth="1"/>
    <col min="15617" max="15617" width="26" customWidth="1"/>
    <col min="15873" max="15873" width="26" customWidth="1"/>
    <col min="16129" max="16129" width="26" customWidth="1"/>
  </cols>
  <sheetData>
    <row r="1" spans="1:20" ht="15">
      <c r="A1" s="347"/>
      <c r="B1" s="535" t="s">
        <v>100</v>
      </c>
      <c r="C1" s="536"/>
      <c r="D1" s="536"/>
      <c r="E1" s="536"/>
      <c r="F1" s="536"/>
      <c r="G1" s="536"/>
      <c r="H1" s="536"/>
      <c r="I1" s="536"/>
      <c r="J1" s="537"/>
      <c r="K1" s="535" t="s">
        <v>101</v>
      </c>
      <c r="L1" s="536"/>
      <c r="M1" s="536"/>
      <c r="N1" s="536"/>
      <c r="O1" s="536"/>
      <c r="P1" s="536"/>
      <c r="Q1" s="536"/>
      <c r="R1" s="536"/>
      <c r="S1" s="537"/>
      <c r="T1" s="411" t="s">
        <v>102</v>
      </c>
    </row>
    <row r="2" spans="1:20">
      <c r="A2" s="348"/>
      <c r="B2" s="535" t="s">
        <v>10</v>
      </c>
      <c r="C2" s="537"/>
      <c r="D2" s="535" t="s">
        <v>13</v>
      </c>
      <c r="E2" s="537"/>
      <c r="F2" s="535" t="s">
        <v>14</v>
      </c>
      <c r="G2" s="537"/>
      <c r="H2" s="337" t="s">
        <v>15</v>
      </c>
      <c r="I2" s="337" t="s">
        <v>16</v>
      </c>
      <c r="J2" s="538" t="s">
        <v>4</v>
      </c>
      <c r="K2" s="535" t="s">
        <v>10</v>
      </c>
      <c r="L2" s="537"/>
      <c r="M2" s="535" t="s">
        <v>13</v>
      </c>
      <c r="N2" s="537"/>
      <c r="O2" s="535" t="s">
        <v>14</v>
      </c>
      <c r="P2" s="537"/>
      <c r="Q2" s="337" t="s">
        <v>15</v>
      </c>
      <c r="R2" s="337" t="s">
        <v>16</v>
      </c>
      <c r="S2" s="538" t="s">
        <v>4</v>
      </c>
      <c r="T2" s="412" t="s">
        <v>99</v>
      </c>
    </row>
    <row r="3" spans="1:20" ht="19.5">
      <c r="A3" s="349" t="s">
        <v>18</v>
      </c>
      <c r="B3" s="351" t="s">
        <v>103</v>
      </c>
      <c r="C3" s="411" t="s">
        <v>104</v>
      </c>
      <c r="D3" s="411" t="s">
        <v>105</v>
      </c>
      <c r="E3" s="411" t="s">
        <v>106</v>
      </c>
      <c r="F3" s="411" t="s">
        <v>107</v>
      </c>
      <c r="G3" s="411" t="s">
        <v>108</v>
      </c>
      <c r="H3" s="411" t="s">
        <v>109</v>
      </c>
      <c r="I3" s="411" t="s">
        <v>110</v>
      </c>
      <c r="J3" s="539"/>
      <c r="K3" s="411" t="s">
        <v>103</v>
      </c>
      <c r="L3" s="411" t="s">
        <v>104</v>
      </c>
      <c r="M3" s="411" t="s">
        <v>105</v>
      </c>
      <c r="N3" s="411" t="s">
        <v>106</v>
      </c>
      <c r="O3" s="411" t="s">
        <v>107</v>
      </c>
      <c r="P3" s="411" t="s">
        <v>108</v>
      </c>
      <c r="Q3" s="411" t="s">
        <v>109</v>
      </c>
      <c r="R3" s="411" t="s">
        <v>110</v>
      </c>
      <c r="S3" s="539"/>
      <c r="T3" s="352"/>
    </row>
    <row r="4" spans="1:20" s="345" customFormat="1">
      <c r="A4" s="342" t="s">
        <v>111</v>
      </c>
      <c r="B4" s="353" t="s">
        <v>411</v>
      </c>
      <c r="C4" s="353" t="s">
        <v>411</v>
      </c>
      <c r="D4" s="354">
        <v>890920</v>
      </c>
      <c r="E4" s="353" t="s">
        <v>411</v>
      </c>
      <c r="F4" s="354">
        <v>454000</v>
      </c>
      <c r="G4" s="353" t="s">
        <v>411</v>
      </c>
      <c r="H4" s="353" t="s">
        <v>411</v>
      </c>
      <c r="I4" s="354">
        <v>6662280</v>
      </c>
      <c r="J4" s="354">
        <v>8007200</v>
      </c>
      <c r="K4" s="353" t="s">
        <v>411</v>
      </c>
      <c r="L4" s="353" t="s">
        <v>411</v>
      </c>
      <c r="M4" s="354">
        <v>875631</v>
      </c>
      <c r="N4" s="353" t="s">
        <v>411</v>
      </c>
      <c r="O4" s="354">
        <v>449100</v>
      </c>
      <c r="P4" s="353" t="s">
        <v>411</v>
      </c>
      <c r="Q4" s="353" t="s">
        <v>411</v>
      </c>
      <c r="R4" s="354">
        <v>6048604.5</v>
      </c>
      <c r="S4" s="354">
        <v>7373335.5</v>
      </c>
      <c r="T4" s="355">
        <v>0.92079999999999995</v>
      </c>
    </row>
    <row r="5" spans="1:20" s="345" customFormat="1">
      <c r="A5" s="342" t="s">
        <v>112</v>
      </c>
      <c r="B5" s="356" t="s">
        <v>411</v>
      </c>
      <c r="C5" s="356" t="s">
        <v>411</v>
      </c>
      <c r="D5" s="357">
        <v>171674</v>
      </c>
      <c r="E5" s="356" t="s">
        <v>411</v>
      </c>
      <c r="F5" s="356" t="s">
        <v>411</v>
      </c>
      <c r="G5" s="356" t="s">
        <v>411</v>
      </c>
      <c r="H5" s="356" t="s">
        <v>411</v>
      </c>
      <c r="I5" s="357">
        <v>30000</v>
      </c>
      <c r="J5" s="357">
        <v>201674</v>
      </c>
      <c r="K5" s="356" t="s">
        <v>411</v>
      </c>
      <c r="L5" s="356" t="s">
        <v>411</v>
      </c>
      <c r="M5" s="357">
        <v>171331</v>
      </c>
      <c r="N5" s="356" t="s">
        <v>411</v>
      </c>
      <c r="O5" s="356" t="s">
        <v>411</v>
      </c>
      <c r="P5" s="356" t="s">
        <v>411</v>
      </c>
      <c r="Q5" s="356" t="s">
        <v>411</v>
      </c>
      <c r="R5" s="357">
        <v>30000</v>
      </c>
      <c r="S5" s="357">
        <v>201331</v>
      </c>
      <c r="T5" s="358">
        <v>0.99829999999999997</v>
      </c>
    </row>
    <row r="6" spans="1:20" s="345" customFormat="1">
      <c r="A6" s="342" t="s">
        <v>113</v>
      </c>
      <c r="B6" s="353" t="s">
        <v>411</v>
      </c>
      <c r="C6" s="353" t="s">
        <v>411</v>
      </c>
      <c r="D6" s="354">
        <v>132839</v>
      </c>
      <c r="E6" s="353" t="s">
        <v>411</v>
      </c>
      <c r="F6" s="353" t="s">
        <v>411</v>
      </c>
      <c r="G6" s="353" t="s">
        <v>411</v>
      </c>
      <c r="H6" s="353" t="s">
        <v>411</v>
      </c>
      <c r="I6" s="354">
        <v>30000</v>
      </c>
      <c r="J6" s="354">
        <v>162839</v>
      </c>
      <c r="K6" s="353" t="s">
        <v>411</v>
      </c>
      <c r="L6" s="353" t="s">
        <v>411</v>
      </c>
      <c r="M6" s="354">
        <v>130445.2</v>
      </c>
      <c r="N6" s="353" t="s">
        <v>411</v>
      </c>
      <c r="O6" s="353" t="s">
        <v>411</v>
      </c>
      <c r="P6" s="353" t="s">
        <v>411</v>
      </c>
      <c r="Q6" s="353" t="s">
        <v>411</v>
      </c>
      <c r="R6" s="354">
        <v>29940</v>
      </c>
      <c r="S6" s="354">
        <v>160385.20000000001</v>
      </c>
      <c r="T6" s="355">
        <v>0.9849</v>
      </c>
    </row>
    <row r="7" spans="1:20" s="345" customFormat="1">
      <c r="A7" s="342" t="s">
        <v>114</v>
      </c>
      <c r="B7" s="356" t="s">
        <v>411</v>
      </c>
      <c r="C7" s="356" t="s">
        <v>411</v>
      </c>
      <c r="D7" s="357">
        <v>62866</v>
      </c>
      <c r="E7" s="356" t="s">
        <v>411</v>
      </c>
      <c r="F7" s="356" t="s">
        <v>411</v>
      </c>
      <c r="G7" s="356" t="s">
        <v>411</v>
      </c>
      <c r="H7" s="356" t="s">
        <v>411</v>
      </c>
      <c r="I7" s="357">
        <v>30000</v>
      </c>
      <c r="J7" s="357">
        <v>92866</v>
      </c>
      <c r="K7" s="356" t="s">
        <v>411</v>
      </c>
      <c r="L7" s="356" t="s">
        <v>411</v>
      </c>
      <c r="M7" s="357">
        <v>60874</v>
      </c>
      <c r="N7" s="356" t="s">
        <v>411</v>
      </c>
      <c r="O7" s="356" t="s">
        <v>411</v>
      </c>
      <c r="P7" s="356" t="s">
        <v>411</v>
      </c>
      <c r="Q7" s="356" t="s">
        <v>411</v>
      </c>
      <c r="R7" s="357">
        <v>30000</v>
      </c>
      <c r="S7" s="357">
        <v>90874</v>
      </c>
      <c r="T7" s="358">
        <v>0.97850000000000004</v>
      </c>
    </row>
    <row r="8" spans="1:20" s="345" customFormat="1">
      <c r="A8" s="342" t="s">
        <v>262</v>
      </c>
      <c r="B8" s="353" t="s">
        <v>411</v>
      </c>
      <c r="C8" s="353" t="s">
        <v>411</v>
      </c>
      <c r="D8" s="353" t="s">
        <v>411</v>
      </c>
      <c r="E8" s="353" t="s">
        <v>411</v>
      </c>
      <c r="F8" s="353" t="s">
        <v>411</v>
      </c>
      <c r="G8" s="353" t="s">
        <v>411</v>
      </c>
      <c r="H8" s="353" t="s">
        <v>411</v>
      </c>
      <c r="I8" s="354">
        <v>500000</v>
      </c>
      <c r="J8" s="354">
        <v>500000</v>
      </c>
      <c r="K8" s="353" t="s">
        <v>411</v>
      </c>
      <c r="L8" s="353" t="s">
        <v>411</v>
      </c>
      <c r="M8" s="353" t="s">
        <v>411</v>
      </c>
      <c r="N8" s="353" t="s">
        <v>411</v>
      </c>
      <c r="O8" s="353" t="s">
        <v>411</v>
      </c>
      <c r="P8" s="353" t="s">
        <v>411</v>
      </c>
      <c r="Q8" s="353" t="s">
        <v>411</v>
      </c>
      <c r="R8" s="354">
        <v>491266</v>
      </c>
      <c r="S8" s="354">
        <v>491266</v>
      </c>
      <c r="T8" s="355">
        <v>0.98250000000000004</v>
      </c>
    </row>
    <row r="9" spans="1:20" s="345" customFormat="1">
      <c r="A9" s="342" t="s">
        <v>115</v>
      </c>
      <c r="B9" s="356" t="s">
        <v>411</v>
      </c>
      <c r="C9" s="356" t="s">
        <v>411</v>
      </c>
      <c r="D9" s="357">
        <v>134512</v>
      </c>
      <c r="E9" s="356" t="s">
        <v>411</v>
      </c>
      <c r="F9" s="356" t="s">
        <v>411</v>
      </c>
      <c r="G9" s="356" t="s">
        <v>411</v>
      </c>
      <c r="H9" s="356" t="s">
        <v>411</v>
      </c>
      <c r="I9" s="357">
        <v>30000</v>
      </c>
      <c r="J9" s="357">
        <v>164512</v>
      </c>
      <c r="K9" s="356" t="s">
        <v>411</v>
      </c>
      <c r="L9" s="356" t="s">
        <v>411</v>
      </c>
      <c r="M9" s="357">
        <v>125861</v>
      </c>
      <c r="N9" s="356" t="s">
        <v>411</v>
      </c>
      <c r="O9" s="356" t="s">
        <v>411</v>
      </c>
      <c r="P9" s="356" t="s">
        <v>411</v>
      </c>
      <c r="Q9" s="356" t="s">
        <v>411</v>
      </c>
      <c r="R9" s="357">
        <v>30000</v>
      </c>
      <c r="S9" s="357">
        <v>155861</v>
      </c>
      <c r="T9" s="358">
        <v>0.94740000000000002</v>
      </c>
    </row>
    <row r="10" spans="1:20" s="345" customFormat="1">
      <c r="A10" s="342" t="s">
        <v>116</v>
      </c>
      <c r="B10" s="353" t="s">
        <v>411</v>
      </c>
      <c r="C10" s="353" t="s">
        <v>411</v>
      </c>
      <c r="D10" s="354">
        <v>60859</v>
      </c>
      <c r="E10" s="353" t="s">
        <v>411</v>
      </c>
      <c r="F10" s="353" t="s">
        <v>411</v>
      </c>
      <c r="G10" s="353" t="s">
        <v>411</v>
      </c>
      <c r="H10" s="353" t="s">
        <v>411</v>
      </c>
      <c r="I10" s="354">
        <v>2571000</v>
      </c>
      <c r="J10" s="354">
        <v>2631859</v>
      </c>
      <c r="K10" s="353" t="s">
        <v>411</v>
      </c>
      <c r="L10" s="353" t="s">
        <v>411</v>
      </c>
      <c r="M10" s="354">
        <v>60608</v>
      </c>
      <c r="N10" s="353" t="s">
        <v>411</v>
      </c>
      <c r="O10" s="353" t="s">
        <v>411</v>
      </c>
      <c r="P10" s="353" t="s">
        <v>411</v>
      </c>
      <c r="Q10" s="353" t="s">
        <v>411</v>
      </c>
      <c r="R10" s="354">
        <v>2467385.86</v>
      </c>
      <c r="S10" s="354">
        <v>2527993.86</v>
      </c>
      <c r="T10" s="355">
        <v>0.96050000000000002</v>
      </c>
    </row>
    <row r="11" spans="1:20" s="345" customFormat="1">
      <c r="A11" s="342" t="s">
        <v>263</v>
      </c>
      <c r="B11" s="356" t="s">
        <v>411</v>
      </c>
      <c r="C11" s="356" t="s">
        <v>411</v>
      </c>
      <c r="D11" s="357">
        <v>78000</v>
      </c>
      <c r="E11" s="356" t="s">
        <v>411</v>
      </c>
      <c r="F11" s="356" t="s">
        <v>411</v>
      </c>
      <c r="G11" s="356" t="s">
        <v>411</v>
      </c>
      <c r="H11" s="356" t="s">
        <v>411</v>
      </c>
      <c r="I11" s="357">
        <v>1159100</v>
      </c>
      <c r="J11" s="357">
        <v>1237100</v>
      </c>
      <c r="K11" s="356" t="s">
        <v>411</v>
      </c>
      <c r="L11" s="356" t="s">
        <v>411</v>
      </c>
      <c r="M11" s="357">
        <v>77941</v>
      </c>
      <c r="N11" s="356" t="s">
        <v>411</v>
      </c>
      <c r="O11" s="356" t="s">
        <v>411</v>
      </c>
      <c r="P11" s="356" t="s">
        <v>411</v>
      </c>
      <c r="Q11" s="356" t="s">
        <v>411</v>
      </c>
      <c r="R11" s="357">
        <v>1158585</v>
      </c>
      <c r="S11" s="357">
        <v>1236526</v>
      </c>
      <c r="T11" s="358">
        <v>0.99950000000000006</v>
      </c>
    </row>
    <row r="12" spans="1:20" s="345" customFormat="1">
      <c r="A12" s="342" t="s">
        <v>264</v>
      </c>
      <c r="B12" s="353" t="s">
        <v>411</v>
      </c>
      <c r="C12" s="353" t="s">
        <v>411</v>
      </c>
      <c r="D12" s="354">
        <v>342750</v>
      </c>
      <c r="E12" s="353" t="s">
        <v>411</v>
      </c>
      <c r="F12" s="353" t="s">
        <v>411</v>
      </c>
      <c r="G12" s="353" t="s">
        <v>411</v>
      </c>
      <c r="H12" s="353" t="s">
        <v>411</v>
      </c>
      <c r="I12" s="354">
        <v>419000</v>
      </c>
      <c r="J12" s="354">
        <v>761750</v>
      </c>
      <c r="K12" s="353" t="s">
        <v>411</v>
      </c>
      <c r="L12" s="353" t="s">
        <v>411</v>
      </c>
      <c r="M12" s="354">
        <v>342150</v>
      </c>
      <c r="N12" s="353" t="s">
        <v>411</v>
      </c>
      <c r="O12" s="353" t="s">
        <v>411</v>
      </c>
      <c r="P12" s="353" t="s">
        <v>411</v>
      </c>
      <c r="Q12" s="353" t="s">
        <v>411</v>
      </c>
      <c r="R12" s="354">
        <v>419000</v>
      </c>
      <c r="S12" s="354">
        <v>761150</v>
      </c>
      <c r="T12" s="355">
        <v>0.99919999999999998</v>
      </c>
    </row>
    <row r="13" spans="1:20" s="362" customFormat="1">
      <c r="A13" s="343" t="s">
        <v>438</v>
      </c>
      <c r="B13" s="359">
        <f>SUM(B4:B12)</f>
        <v>0</v>
      </c>
      <c r="C13" s="359">
        <f t="shared" ref="C13:S13" si="0">SUM(C4:C12)</f>
        <v>0</v>
      </c>
      <c r="D13" s="359">
        <f t="shared" si="0"/>
        <v>1874420</v>
      </c>
      <c r="E13" s="359">
        <f t="shared" si="0"/>
        <v>0</v>
      </c>
      <c r="F13" s="359">
        <f t="shared" si="0"/>
        <v>454000</v>
      </c>
      <c r="G13" s="359">
        <f t="shared" si="0"/>
        <v>0</v>
      </c>
      <c r="H13" s="359">
        <f t="shared" si="0"/>
        <v>0</v>
      </c>
      <c r="I13" s="359">
        <f t="shared" si="0"/>
        <v>11431380</v>
      </c>
      <c r="J13" s="359">
        <f t="shared" si="0"/>
        <v>13759800</v>
      </c>
      <c r="K13" s="359">
        <f t="shared" si="0"/>
        <v>0</v>
      </c>
      <c r="L13" s="359">
        <f t="shared" si="0"/>
        <v>0</v>
      </c>
      <c r="M13" s="359">
        <f t="shared" si="0"/>
        <v>1844841.2</v>
      </c>
      <c r="N13" s="359">
        <f t="shared" si="0"/>
        <v>0</v>
      </c>
      <c r="O13" s="359">
        <f t="shared" si="0"/>
        <v>449100</v>
      </c>
      <c r="P13" s="359">
        <f t="shared" si="0"/>
        <v>0</v>
      </c>
      <c r="Q13" s="359">
        <f t="shared" si="0"/>
        <v>0</v>
      </c>
      <c r="R13" s="359">
        <f t="shared" si="0"/>
        <v>10704781.359999999</v>
      </c>
      <c r="S13" s="359">
        <f t="shared" si="0"/>
        <v>12998722.559999999</v>
      </c>
      <c r="T13" s="361"/>
    </row>
    <row r="14" spans="1:20" s="345" customFormat="1">
      <c r="A14" s="342" t="s">
        <v>117</v>
      </c>
      <c r="B14" s="356" t="s">
        <v>411</v>
      </c>
      <c r="C14" s="356" t="s">
        <v>411</v>
      </c>
      <c r="D14" s="357">
        <v>526806</v>
      </c>
      <c r="E14" s="356" t="s">
        <v>411</v>
      </c>
      <c r="F14" s="356" t="s">
        <v>411</v>
      </c>
      <c r="G14" s="356" t="s">
        <v>411</v>
      </c>
      <c r="H14" s="357">
        <v>2029000</v>
      </c>
      <c r="I14" s="357">
        <v>5874700</v>
      </c>
      <c r="J14" s="357">
        <v>8430506</v>
      </c>
      <c r="K14" s="356" t="s">
        <v>411</v>
      </c>
      <c r="L14" s="356" t="s">
        <v>411</v>
      </c>
      <c r="M14" s="357">
        <v>508576.95</v>
      </c>
      <c r="N14" s="356" t="s">
        <v>411</v>
      </c>
      <c r="O14" s="356" t="s">
        <v>411</v>
      </c>
      <c r="P14" s="356" t="s">
        <v>411</v>
      </c>
      <c r="Q14" s="357">
        <v>2029000</v>
      </c>
      <c r="R14" s="357">
        <v>5782585.2400000002</v>
      </c>
      <c r="S14" s="357">
        <v>8320162.1900000004</v>
      </c>
      <c r="T14" s="358">
        <v>0.9869</v>
      </c>
    </row>
    <row r="15" spans="1:20" s="345" customFormat="1">
      <c r="A15" s="342" t="s">
        <v>118</v>
      </c>
      <c r="B15" s="353" t="s">
        <v>411</v>
      </c>
      <c r="C15" s="353" t="s">
        <v>411</v>
      </c>
      <c r="D15" s="354">
        <v>110050</v>
      </c>
      <c r="E15" s="353" t="s">
        <v>411</v>
      </c>
      <c r="F15" s="354">
        <v>450000</v>
      </c>
      <c r="G15" s="353" t="s">
        <v>411</v>
      </c>
      <c r="H15" s="353" t="s">
        <v>411</v>
      </c>
      <c r="I15" s="354">
        <v>30000</v>
      </c>
      <c r="J15" s="354">
        <v>590050</v>
      </c>
      <c r="K15" s="353" t="s">
        <v>411</v>
      </c>
      <c r="L15" s="353" t="s">
        <v>411</v>
      </c>
      <c r="M15" s="354">
        <v>109999.85</v>
      </c>
      <c r="N15" s="353" t="s">
        <v>411</v>
      </c>
      <c r="O15" s="354">
        <v>450000</v>
      </c>
      <c r="P15" s="353" t="s">
        <v>411</v>
      </c>
      <c r="Q15" s="353" t="s">
        <v>411</v>
      </c>
      <c r="R15" s="354">
        <v>30000</v>
      </c>
      <c r="S15" s="354">
        <v>589999.85</v>
      </c>
      <c r="T15" s="355">
        <v>0.99990000000000001</v>
      </c>
    </row>
    <row r="16" spans="1:20" s="345" customFormat="1">
      <c r="A16" s="342" t="s">
        <v>119</v>
      </c>
      <c r="B16" s="356" t="s">
        <v>411</v>
      </c>
      <c r="C16" s="356" t="s">
        <v>411</v>
      </c>
      <c r="D16" s="357">
        <v>118500</v>
      </c>
      <c r="E16" s="356" t="s">
        <v>411</v>
      </c>
      <c r="F16" s="357">
        <v>410400</v>
      </c>
      <c r="G16" s="356" t="s">
        <v>411</v>
      </c>
      <c r="H16" s="356" t="s">
        <v>411</v>
      </c>
      <c r="I16" s="356" t="s">
        <v>411</v>
      </c>
      <c r="J16" s="357">
        <v>528900</v>
      </c>
      <c r="K16" s="356" t="s">
        <v>411</v>
      </c>
      <c r="L16" s="356" t="s">
        <v>411</v>
      </c>
      <c r="M16" s="357">
        <v>118435</v>
      </c>
      <c r="N16" s="356" t="s">
        <v>411</v>
      </c>
      <c r="O16" s="357">
        <v>410400</v>
      </c>
      <c r="P16" s="356" t="s">
        <v>411</v>
      </c>
      <c r="Q16" s="356" t="s">
        <v>411</v>
      </c>
      <c r="R16" s="356" t="s">
        <v>411</v>
      </c>
      <c r="S16" s="357">
        <v>528835</v>
      </c>
      <c r="T16" s="358">
        <v>0.99990000000000001</v>
      </c>
    </row>
    <row r="17" spans="1:20" s="345" customFormat="1">
      <c r="A17" s="342" t="s">
        <v>120</v>
      </c>
      <c r="B17" s="353" t="s">
        <v>411</v>
      </c>
      <c r="C17" s="353" t="s">
        <v>411</v>
      </c>
      <c r="D17" s="354">
        <v>126129</v>
      </c>
      <c r="E17" s="353" t="s">
        <v>411</v>
      </c>
      <c r="F17" s="353" t="s">
        <v>411</v>
      </c>
      <c r="G17" s="353" t="s">
        <v>411</v>
      </c>
      <c r="H17" s="353" t="s">
        <v>411</v>
      </c>
      <c r="I17" s="353" t="s">
        <v>411</v>
      </c>
      <c r="J17" s="354">
        <v>126129</v>
      </c>
      <c r="K17" s="353" t="s">
        <v>411</v>
      </c>
      <c r="L17" s="353" t="s">
        <v>411</v>
      </c>
      <c r="M17" s="354">
        <v>125900</v>
      </c>
      <c r="N17" s="353" t="s">
        <v>411</v>
      </c>
      <c r="O17" s="353" t="s">
        <v>411</v>
      </c>
      <c r="P17" s="353" t="s">
        <v>411</v>
      </c>
      <c r="Q17" s="353" t="s">
        <v>411</v>
      </c>
      <c r="R17" s="353" t="s">
        <v>411</v>
      </c>
      <c r="S17" s="354">
        <v>125900</v>
      </c>
      <c r="T17" s="355">
        <v>0.99819999999999998</v>
      </c>
    </row>
    <row r="18" spans="1:20" s="345" customFormat="1">
      <c r="A18" s="342" t="s">
        <v>121</v>
      </c>
      <c r="B18" s="356" t="s">
        <v>411</v>
      </c>
      <c r="C18" s="356" t="s">
        <v>411</v>
      </c>
      <c r="D18" s="357">
        <v>240850</v>
      </c>
      <c r="E18" s="356" t="s">
        <v>411</v>
      </c>
      <c r="F18" s="356" t="s">
        <v>411</v>
      </c>
      <c r="G18" s="356" t="s">
        <v>411</v>
      </c>
      <c r="H18" s="356" t="s">
        <v>411</v>
      </c>
      <c r="I18" s="357">
        <v>19650</v>
      </c>
      <c r="J18" s="357">
        <v>260500</v>
      </c>
      <c r="K18" s="356" t="s">
        <v>411</v>
      </c>
      <c r="L18" s="356" t="s">
        <v>411</v>
      </c>
      <c r="M18" s="357">
        <v>240842</v>
      </c>
      <c r="N18" s="356" t="s">
        <v>411</v>
      </c>
      <c r="O18" s="356" t="s">
        <v>411</v>
      </c>
      <c r="P18" s="356" t="s">
        <v>411</v>
      </c>
      <c r="Q18" s="356" t="s">
        <v>411</v>
      </c>
      <c r="R18" s="357">
        <v>19536</v>
      </c>
      <c r="S18" s="357">
        <v>260378</v>
      </c>
      <c r="T18" s="358">
        <v>0.99950000000000006</v>
      </c>
    </row>
    <row r="19" spans="1:20" s="345" customFormat="1">
      <c r="A19" s="342" t="s">
        <v>122</v>
      </c>
      <c r="B19" s="353" t="s">
        <v>411</v>
      </c>
      <c r="C19" s="353" t="s">
        <v>411</v>
      </c>
      <c r="D19" s="354">
        <v>54500</v>
      </c>
      <c r="E19" s="353" t="s">
        <v>411</v>
      </c>
      <c r="F19" s="353" t="s">
        <v>411</v>
      </c>
      <c r="G19" s="353" t="s">
        <v>411</v>
      </c>
      <c r="H19" s="353" t="s">
        <v>411</v>
      </c>
      <c r="I19" s="354">
        <v>20000</v>
      </c>
      <c r="J19" s="354">
        <v>74500</v>
      </c>
      <c r="K19" s="353" t="s">
        <v>411</v>
      </c>
      <c r="L19" s="353" t="s">
        <v>411</v>
      </c>
      <c r="M19" s="354">
        <v>30709</v>
      </c>
      <c r="N19" s="353" t="s">
        <v>411</v>
      </c>
      <c r="O19" s="353" t="s">
        <v>411</v>
      </c>
      <c r="P19" s="353" t="s">
        <v>411</v>
      </c>
      <c r="Q19" s="353" t="s">
        <v>411</v>
      </c>
      <c r="R19" s="354">
        <v>20000</v>
      </c>
      <c r="S19" s="354">
        <v>50709</v>
      </c>
      <c r="T19" s="355">
        <v>0.68069999999999997</v>
      </c>
    </row>
    <row r="20" spans="1:20" s="345" customFormat="1">
      <c r="A20" s="342" t="s">
        <v>123</v>
      </c>
      <c r="B20" s="353" t="s">
        <v>411</v>
      </c>
      <c r="C20" s="353" t="s">
        <v>411</v>
      </c>
      <c r="D20" s="354">
        <v>80700</v>
      </c>
      <c r="E20" s="353" t="s">
        <v>411</v>
      </c>
      <c r="F20" s="354">
        <v>870000</v>
      </c>
      <c r="G20" s="353" t="s">
        <v>411</v>
      </c>
      <c r="H20" s="353" t="s">
        <v>411</v>
      </c>
      <c r="I20" s="353" t="s">
        <v>411</v>
      </c>
      <c r="J20" s="354">
        <v>950700</v>
      </c>
      <c r="K20" s="353" t="s">
        <v>411</v>
      </c>
      <c r="L20" s="353" t="s">
        <v>411</v>
      </c>
      <c r="M20" s="354">
        <v>66220</v>
      </c>
      <c r="N20" s="353" t="s">
        <v>411</v>
      </c>
      <c r="O20" s="353" t="s">
        <v>411</v>
      </c>
      <c r="P20" s="353" t="s">
        <v>411</v>
      </c>
      <c r="Q20" s="353" t="s">
        <v>411</v>
      </c>
      <c r="R20" s="353" t="s">
        <v>411</v>
      </c>
      <c r="S20" s="354">
        <v>66220</v>
      </c>
      <c r="T20" s="355">
        <v>6.9699999999999998E-2</v>
      </c>
    </row>
    <row r="21" spans="1:20" s="345" customFormat="1">
      <c r="A21" s="342" t="s">
        <v>124</v>
      </c>
      <c r="B21" s="356" t="s">
        <v>411</v>
      </c>
      <c r="C21" s="356" t="s">
        <v>411</v>
      </c>
      <c r="D21" s="356" t="s">
        <v>411</v>
      </c>
      <c r="E21" s="356" t="s">
        <v>411</v>
      </c>
      <c r="F21" s="356" t="s">
        <v>411</v>
      </c>
      <c r="G21" s="356" t="s">
        <v>411</v>
      </c>
      <c r="H21" s="356" t="s">
        <v>411</v>
      </c>
      <c r="I21" s="357">
        <v>700000</v>
      </c>
      <c r="J21" s="357">
        <v>700000</v>
      </c>
      <c r="K21" s="356" t="s">
        <v>411</v>
      </c>
      <c r="L21" s="356" t="s">
        <v>411</v>
      </c>
      <c r="M21" s="356" t="s">
        <v>411</v>
      </c>
      <c r="N21" s="356" t="s">
        <v>411</v>
      </c>
      <c r="O21" s="356" t="s">
        <v>411</v>
      </c>
      <c r="P21" s="356" t="s">
        <v>411</v>
      </c>
      <c r="Q21" s="356" t="s">
        <v>411</v>
      </c>
      <c r="R21" s="357">
        <v>699999.44</v>
      </c>
      <c r="S21" s="357">
        <v>699999.44</v>
      </c>
      <c r="T21" s="358">
        <v>1</v>
      </c>
    </row>
    <row r="22" spans="1:20" s="345" customFormat="1">
      <c r="A22" s="342" t="s">
        <v>125</v>
      </c>
      <c r="B22" s="353" t="s">
        <v>411</v>
      </c>
      <c r="C22" s="353" t="s">
        <v>411</v>
      </c>
      <c r="D22" s="354">
        <v>134750</v>
      </c>
      <c r="E22" s="353" t="s">
        <v>411</v>
      </c>
      <c r="F22" s="353" t="s">
        <v>411</v>
      </c>
      <c r="G22" s="353" t="s">
        <v>411</v>
      </c>
      <c r="H22" s="353" t="s">
        <v>411</v>
      </c>
      <c r="I22" s="354">
        <v>7800</v>
      </c>
      <c r="J22" s="354">
        <v>142550</v>
      </c>
      <c r="K22" s="353" t="s">
        <v>411</v>
      </c>
      <c r="L22" s="353" t="s">
        <v>411</v>
      </c>
      <c r="M22" s="354">
        <v>132923.72</v>
      </c>
      <c r="N22" s="353" t="s">
        <v>411</v>
      </c>
      <c r="O22" s="353" t="s">
        <v>411</v>
      </c>
      <c r="P22" s="353" t="s">
        <v>411</v>
      </c>
      <c r="Q22" s="353" t="s">
        <v>411</v>
      </c>
      <c r="R22" s="354">
        <v>5651</v>
      </c>
      <c r="S22" s="354">
        <v>138574.72</v>
      </c>
      <c r="T22" s="355">
        <v>0.97209999999999996</v>
      </c>
    </row>
    <row r="23" spans="1:20" s="345" customFormat="1">
      <c r="A23" s="342" t="s">
        <v>126</v>
      </c>
      <c r="B23" s="356" t="s">
        <v>411</v>
      </c>
      <c r="C23" s="356" t="s">
        <v>411</v>
      </c>
      <c r="D23" s="357">
        <v>200400</v>
      </c>
      <c r="E23" s="356" t="s">
        <v>411</v>
      </c>
      <c r="F23" s="356" t="s">
        <v>411</v>
      </c>
      <c r="G23" s="356" t="s">
        <v>411</v>
      </c>
      <c r="H23" s="356" t="s">
        <v>411</v>
      </c>
      <c r="I23" s="357">
        <v>17700</v>
      </c>
      <c r="J23" s="357">
        <v>218100</v>
      </c>
      <c r="K23" s="356" t="s">
        <v>411</v>
      </c>
      <c r="L23" s="356" t="s">
        <v>411</v>
      </c>
      <c r="M23" s="357">
        <v>196562.8</v>
      </c>
      <c r="N23" s="356" t="s">
        <v>411</v>
      </c>
      <c r="O23" s="356" t="s">
        <v>411</v>
      </c>
      <c r="P23" s="356" t="s">
        <v>411</v>
      </c>
      <c r="Q23" s="356" t="s">
        <v>411</v>
      </c>
      <c r="R23" s="357">
        <v>16032</v>
      </c>
      <c r="S23" s="357">
        <v>212594.8</v>
      </c>
      <c r="T23" s="358">
        <v>0.9748</v>
      </c>
    </row>
    <row r="24" spans="1:20" s="345" customFormat="1">
      <c r="A24" s="342" t="s">
        <v>127</v>
      </c>
      <c r="B24" s="353" t="s">
        <v>411</v>
      </c>
      <c r="C24" s="353" t="s">
        <v>411</v>
      </c>
      <c r="D24" s="354">
        <v>165730</v>
      </c>
      <c r="E24" s="353" t="s">
        <v>411</v>
      </c>
      <c r="F24" s="354">
        <v>400000</v>
      </c>
      <c r="G24" s="353" t="s">
        <v>411</v>
      </c>
      <c r="H24" s="353" t="s">
        <v>411</v>
      </c>
      <c r="I24" s="354">
        <v>8700</v>
      </c>
      <c r="J24" s="354">
        <v>574430</v>
      </c>
      <c r="K24" s="353" t="s">
        <v>411</v>
      </c>
      <c r="L24" s="353" t="s">
        <v>411</v>
      </c>
      <c r="M24" s="354">
        <v>165607</v>
      </c>
      <c r="N24" s="353" t="s">
        <v>411</v>
      </c>
      <c r="O24" s="354">
        <v>400000</v>
      </c>
      <c r="P24" s="353" t="s">
        <v>411</v>
      </c>
      <c r="Q24" s="353" t="s">
        <v>411</v>
      </c>
      <c r="R24" s="354">
        <v>6842</v>
      </c>
      <c r="S24" s="354">
        <v>572449</v>
      </c>
      <c r="T24" s="355">
        <v>0.99660000000000004</v>
      </c>
    </row>
    <row r="25" spans="1:20" s="345" customFormat="1">
      <c r="A25" s="342" t="s">
        <v>128</v>
      </c>
      <c r="B25" s="356" t="s">
        <v>411</v>
      </c>
      <c r="C25" s="356" t="s">
        <v>411</v>
      </c>
      <c r="D25" s="357">
        <v>149750</v>
      </c>
      <c r="E25" s="356" t="s">
        <v>411</v>
      </c>
      <c r="F25" s="357">
        <v>545000</v>
      </c>
      <c r="G25" s="356" t="s">
        <v>411</v>
      </c>
      <c r="H25" s="356" t="s">
        <v>411</v>
      </c>
      <c r="I25" s="357">
        <v>6450</v>
      </c>
      <c r="J25" s="357">
        <v>701200</v>
      </c>
      <c r="K25" s="356" t="s">
        <v>411</v>
      </c>
      <c r="L25" s="356" t="s">
        <v>411</v>
      </c>
      <c r="M25" s="357">
        <v>130802</v>
      </c>
      <c r="N25" s="356" t="s">
        <v>411</v>
      </c>
      <c r="O25" s="357">
        <v>536000</v>
      </c>
      <c r="P25" s="356" t="s">
        <v>411</v>
      </c>
      <c r="Q25" s="356" t="s">
        <v>411</v>
      </c>
      <c r="R25" s="357">
        <v>6384</v>
      </c>
      <c r="S25" s="357">
        <v>673186</v>
      </c>
      <c r="T25" s="358">
        <v>0.96</v>
      </c>
    </row>
    <row r="26" spans="1:20" s="345" customFormat="1">
      <c r="A26" s="342" t="s">
        <v>129</v>
      </c>
      <c r="B26" s="353" t="s">
        <v>411</v>
      </c>
      <c r="C26" s="353" t="s">
        <v>411</v>
      </c>
      <c r="D26" s="354">
        <v>70650</v>
      </c>
      <c r="E26" s="353" t="s">
        <v>411</v>
      </c>
      <c r="F26" s="354">
        <v>258400</v>
      </c>
      <c r="G26" s="353" t="s">
        <v>411</v>
      </c>
      <c r="H26" s="353" t="s">
        <v>411</v>
      </c>
      <c r="I26" s="353" t="s">
        <v>411</v>
      </c>
      <c r="J26" s="354">
        <v>329050</v>
      </c>
      <c r="K26" s="353" t="s">
        <v>411</v>
      </c>
      <c r="L26" s="353" t="s">
        <v>411</v>
      </c>
      <c r="M26" s="354">
        <v>70645</v>
      </c>
      <c r="N26" s="353" t="s">
        <v>411</v>
      </c>
      <c r="O26" s="354">
        <v>258400</v>
      </c>
      <c r="P26" s="353" t="s">
        <v>411</v>
      </c>
      <c r="Q26" s="353" t="s">
        <v>411</v>
      </c>
      <c r="R26" s="353" t="s">
        <v>411</v>
      </c>
      <c r="S26" s="354">
        <v>329045</v>
      </c>
      <c r="T26" s="355">
        <v>1</v>
      </c>
    </row>
    <row r="27" spans="1:20" s="362" customFormat="1">
      <c r="A27" s="346" t="s">
        <v>439</v>
      </c>
      <c r="B27" s="359">
        <f>SUM(B14:B26)</f>
        <v>0</v>
      </c>
      <c r="C27" s="359">
        <f t="shared" ref="C27:S27" si="1">SUM(C14:C26)</f>
        <v>0</v>
      </c>
      <c r="D27" s="359">
        <f t="shared" si="1"/>
        <v>1978815</v>
      </c>
      <c r="E27" s="359">
        <f t="shared" si="1"/>
        <v>0</v>
      </c>
      <c r="F27" s="359">
        <f t="shared" si="1"/>
        <v>2933800</v>
      </c>
      <c r="G27" s="359">
        <f t="shared" si="1"/>
        <v>0</v>
      </c>
      <c r="H27" s="359">
        <f t="shared" si="1"/>
        <v>2029000</v>
      </c>
      <c r="I27" s="359">
        <f t="shared" si="1"/>
        <v>6685000</v>
      </c>
      <c r="J27" s="359">
        <f t="shared" si="1"/>
        <v>13626615</v>
      </c>
      <c r="K27" s="359">
        <f t="shared" si="1"/>
        <v>0</v>
      </c>
      <c r="L27" s="359">
        <f t="shared" si="1"/>
        <v>0</v>
      </c>
      <c r="M27" s="359">
        <f t="shared" si="1"/>
        <v>1897223.32</v>
      </c>
      <c r="N27" s="359">
        <f t="shared" si="1"/>
        <v>0</v>
      </c>
      <c r="O27" s="359">
        <f t="shared" si="1"/>
        <v>2054800</v>
      </c>
      <c r="P27" s="359">
        <f t="shared" si="1"/>
        <v>0</v>
      </c>
      <c r="Q27" s="359">
        <f t="shared" si="1"/>
        <v>2029000</v>
      </c>
      <c r="R27" s="359">
        <f t="shared" si="1"/>
        <v>6587029.6799999997</v>
      </c>
      <c r="S27" s="359">
        <f t="shared" si="1"/>
        <v>12568053.000000002</v>
      </c>
      <c r="T27" s="361"/>
    </row>
    <row r="28" spans="1:20" s="345" customFormat="1">
      <c r="A28" s="342" t="s">
        <v>130</v>
      </c>
      <c r="B28" s="356" t="s">
        <v>411</v>
      </c>
      <c r="C28" s="356" t="s">
        <v>411</v>
      </c>
      <c r="D28" s="357">
        <v>2046460</v>
      </c>
      <c r="E28" s="356" t="s">
        <v>411</v>
      </c>
      <c r="F28" s="357">
        <v>1480500</v>
      </c>
      <c r="G28" s="356" t="s">
        <v>411</v>
      </c>
      <c r="H28" s="357">
        <v>1596400</v>
      </c>
      <c r="I28" s="357">
        <v>5468200</v>
      </c>
      <c r="J28" s="357">
        <v>10591560</v>
      </c>
      <c r="K28" s="356" t="s">
        <v>411</v>
      </c>
      <c r="L28" s="356" t="s">
        <v>411</v>
      </c>
      <c r="M28" s="357">
        <v>1788712.49</v>
      </c>
      <c r="N28" s="356" t="s">
        <v>411</v>
      </c>
      <c r="O28" s="357">
        <v>1469100</v>
      </c>
      <c r="P28" s="356" t="s">
        <v>411</v>
      </c>
      <c r="Q28" s="357">
        <v>1596400</v>
      </c>
      <c r="R28" s="357">
        <v>4175637.2</v>
      </c>
      <c r="S28" s="357">
        <v>9029849.6899999995</v>
      </c>
      <c r="T28" s="358">
        <v>0.85260000000000002</v>
      </c>
    </row>
    <row r="29" spans="1:20" s="345" customFormat="1">
      <c r="A29" s="342" t="s">
        <v>131</v>
      </c>
      <c r="B29" s="353" t="s">
        <v>411</v>
      </c>
      <c r="C29" s="353" t="s">
        <v>411</v>
      </c>
      <c r="D29" s="354">
        <v>101960</v>
      </c>
      <c r="E29" s="353" t="s">
        <v>411</v>
      </c>
      <c r="F29" s="353" t="s">
        <v>411</v>
      </c>
      <c r="G29" s="353" t="s">
        <v>411</v>
      </c>
      <c r="H29" s="353" t="s">
        <v>411</v>
      </c>
      <c r="I29" s="354">
        <v>28000</v>
      </c>
      <c r="J29" s="354">
        <v>129960</v>
      </c>
      <c r="K29" s="353" t="s">
        <v>411</v>
      </c>
      <c r="L29" s="353" t="s">
        <v>411</v>
      </c>
      <c r="M29" s="354">
        <v>98130</v>
      </c>
      <c r="N29" s="353" t="s">
        <v>411</v>
      </c>
      <c r="O29" s="353" t="s">
        <v>411</v>
      </c>
      <c r="P29" s="353" t="s">
        <v>411</v>
      </c>
      <c r="Q29" s="353" t="s">
        <v>411</v>
      </c>
      <c r="R29" s="354">
        <v>27788</v>
      </c>
      <c r="S29" s="354">
        <v>125918</v>
      </c>
      <c r="T29" s="355">
        <v>0.96889999999999998</v>
      </c>
    </row>
    <row r="30" spans="1:20" s="345" customFormat="1">
      <c r="A30" s="342" t="s">
        <v>132</v>
      </c>
      <c r="B30" s="356" t="s">
        <v>411</v>
      </c>
      <c r="C30" s="356" t="s">
        <v>411</v>
      </c>
      <c r="D30" s="357">
        <v>98000</v>
      </c>
      <c r="E30" s="356" t="s">
        <v>411</v>
      </c>
      <c r="F30" s="356" t="s">
        <v>411</v>
      </c>
      <c r="G30" s="356" t="s">
        <v>411</v>
      </c>
      <c r="H30" s="356" t="s">
        <v>411</v>
      </c>
      <c r="I30" s="357">
        <v>25000</v>
      </c>
      <c r="J30" s="357">
        <v>123000</v>
      </c>
      <c r="K30" s="356" t="s">
        <v>411</v>
      </c>
      <c r="L30" s="356" t="s">
        <v>411</v>
      </c>
      <c r="M30" s="357">
        <v>82502</v>
      </c>
      <c r="N30" s="356" t="s">
        <v>411</v>
      </c>
      <c r="O30" s="356" t="s">
        <v>411</v>
      </c>
      <c r="P30" s="356" t="s">
        <v>411</v>
      </c>
      <c r="Q30" s="356" t="s">
        <v>411</v>
      </c>
      <c r="R30" s="357">
        <v>12008</v>
      </c>
      <c r="S30" s="357">
        <v>94510</v>
      </c>
      <c r="T30" s="358">
        <v>0.76839999999999997</v>
      </c>
    </row>
    <row r="31" spans="1:20" s="345" customFormat="1">
      <c r="A31" s="342" t="s">
        <v>133</v>
      </c>
      <c r="B31" s="353" t="s">
        <v>411</v>
      </c>
      <c r="C31" s="353" t="s">
        <v>411</v>
      </c>
      <c r="D31" s="354">
        <v>201960</v>
      </c>
      <c r="E31" s="353" t="s">
        <v>411</v>
      </c>
      <c r="F31" s="353" t="s">
        <v>411</v>
      </c>
      <c r="G31" s="353" t="s">
        <v>411</v>
      </c>
      <c r="H31" s="353" t="s">
        <v>411</v>
      </c>
      <c r="I31" s="354">
        <v>85000</v>
      </c>
      <c r="J31" s="354">
        <v>286960</v>
      </c>
      <c r="K31" s="353" t="s">
        <v>411</v>
      </c>
      <c r="L31" s="353" t="s">
        <v>411</v>
      </c>
      <c r="M31" s="354">
        <v>190429.75</v>
      </c>
      <c r="N31" s="353" t="s">
        <v>411</v>
      </c>
      <c r="O31" s="353" t="s">
        <v>411</v>
      </c>
      <c r="P31" s="353" t="s">
        <v>411</v>
      </c>
      <c r="Q31" s="353" t="s">
        <v>411</v>
      </c>
      <c r="R31" s="354">
        <v>74182</v>
      </c>
      <c r="S31" s="354">
        <v>264611.75</v>
      </c>
      <c r="T31" s="355">
        <v>0.92210000000000003</v>
      </c>
    </row>
    <row r="32" spans="1:20" s="345" customFormat="1">
      <c r="A32" s="342" t="s">
        <v>134</v>
      </c>
      <c r="B32" s="356" t="s">
        <v>411</v>
      </c>
      <c r="C32" s="356" t="s">
        <v>411</v>
      </c>
      <c r="D32" s="357">
        <v>107700</v>
      </c>
      <c r="E32" s="356" t="s">
        <v>411</v>
      </c>
      <c r="F32" s="356" t="s">
        <v>411</v>
      </c>
      <c r="G32" s="356" t="s">
        <v>411</v>
      </c>
      <c r="H32" s="356" t="s">
        <v>411</v>
      </c>
      <c r="I32" s="357">
        <v>25000</v>
      </c>
      <c r="J32" s="357">
        <v>132700</v>
      </c>
      <c r="K32" s="356" t="s">
        <v>411</v>
      </c>
      <c r="L32" s="356" t="s">
        <v>411</v>
      </c>
      <c r="M32" s="357">
        <v>99908</v>
      </c>
      <c r="N32" s="356" t="s">
        <v>411</v>
      </c>
      <c r="O32" s="356" t="s">
        <v>411</v>
      </c>
      <c r="P32" s="356" t="s">
        <v>411</v>
      </c>
      <c r="Q32" s="356" t="s">
        <v>411</v>
      </c>
      <c r="R32" s="357">
        <v>18146</v>
      </c>
      <c r="S32" s="357">
        <v>118054</v>
      </c>
      <c r="T32" s="358">
        <v>0.88959999999999995</v>
      </c>
    </row>
    <row r="33" spans="1:20" s="345" customFormat="1">
      <c r="A33" s="342" t="s">
        <v>135</v>
      </c>
      <c r="B33" s="353" t="s">
        <v>411</v>
      </c>
      <c r="C33" s="353" t="s">
        <v>411</v>
      </c>
      <c r="D33" s="354">
        <v>90860</v>
      </c>
      <c r="E33" s="353" t="s">
        <v>411</v>
      </c>
      <c r="F33" s="353" t="s">
        <v>411</v>
      </c>
      <c r="G33" s="353" t="s">
        <v>411</v>
      </c>
      <c r="H33" s="353" t="s">
        <v>411</v>
      </c>
      <c r="I33" s="354">
        <v>30000</v>
      </c>
      <c r="J33" s="354">
        <v>120860</v>
      </c>
      <c r="K33" s="353" t="s">
        <v>411</v>
      </c>
      <c r="L33" s="353" t="s">
        <v>411</v>
      </c>
      <c r="M33" s="354">
        <v>88320</v>
      </c>
      <c r="N33" s="353" t="s">
        <v>411</v>
      </c>
      <c r="O33" s="353" t="s">
        <v>411</v>
      </c>
      <c r="P33" s="353" t="s">
        <v>411</v>
      </c>
      <c r="Q33" s="353" t="s">
        <v>411</v>
      </c>
      <c r="R33" s="354">
        <v>4660</v>
      </c>
      <c r="S33" s="354">
        <v>92980</v>
      </c>
      <c r="T33" s="355">
        <v>0.76929999999999998</v>
      </c>
    </row>
    <row r="34" spans="1:20" s="345" customFormat="1">
      <c r="A34" s="342" t="s">
        <v>136</v>
      </c>
      <c r="B34" s="356" t="s">
        <v>411</v>
      </c>
      <c r="C34" s="356" t="s">
        <v>411</v>
      </c>
      <c r="D34" s="357">
        <v>87480</v>
      </c>
      <c r="E34" s="356" t="s">
        <v>411</v>
      </c>
      <c r="F34" s="356" t="s">
        <v>411</v>
      </c>
      <c r="G34" s="356" t="s">
        <v>411</v>
      </c>
      <c r="H34" s="356" t="s">
        <v>411</v>
      </c>
      <c r="I34" s="357">
        <v>30000</v>
      </c>
      <c r="J34" s="357">
        <v>117480</v>
      </c>
      <c r="K34" s="356" t="s">
        <v>411</v>
      </c>
      <c r="L34" s="356" t="s">
        <v>411</v>
      </c>
      <c r="M34" s="357">
        <v>83146</v>
      </c>
      <c r="N34" s="356" t="s">
        <v>411</v>
      </c>
      <c r="O34" s="356" t="s">
        <v>411</v>
      </c>
      <c r="P34" s="356" t="s">
        <v>411</v>
      </c>
      <c r="Q34" s="356" t="s">
        <v>411</v>
      </c>
      <c r="R34" s="357">
        <v>18629</v>
      </c>
      <c r="S34" s="357">
        <v>101775</v>
      </c>
      <c r="T34" s="358">
        <v>0.86629999999999996</v>
      </c>
    </row>
    <row r="35" spans="1:20" s="345" customFormat="1">
      <c r="A35" s="342" t="s">
        <v>137</v>
      </c>
      <c r="B35" s="353" t="s">
        <v>411</v>
      </c>
      <c r="C35" s="353" t="s">
        <v>411</v>
      </c>
      <c r="D35" s="354">
        <v>198120</v>
      </c>
      <c r="E35" s="353" t="s">
        <v>411</v>
      </c>
      <c r="F35" s="353" t="s">
        <v>411</v>
      </c>
      <c r="G35" s="353" t="s">
        <v>411</v>
      </c>
      <c r="H35" s="353" t="s">
        <v>411</v>
      </c>
      <c r="I35" s="354">
        <v>71850</v>
      </c>
      <c r="J35" s="354">
        <v>269970</v>
      </c>
      <c r="K35" s="353" t="s">
        <v>411</v>
      </c>
      <c r="L35" s="353" t="s">
        <v>411</v>
      </c>
      <c r="M35" s="354">
        <v>156225</v>
      </c>
      <c r="N35" s="353" t="s">
        <v>411</v>
      </c>
      <c r="O35" s="353" t="s">
        <v>411</v>
      </c>
      <c r="P35" s="353" t="s">
        <v>411</v>
      </c>
      <c r="Q35" s="353" t="s">
        <v>411</v>
      </c>
      <c r="R35" s="354">
        <v>41668</v>
      </c>
      <c r="S35" s="354">
        <v>197893</v>
      </c>
      <c r="T35" s="355">
        <v>0.73299999999999998</v>
      </c>
    </row>
    <row r="36" spans="1:20" s="345" customFormat="1">
      <c r="A36" s="342" t="s">
        <v>138</v>
      </c>
      <c r="B36" s="353" t="s">
        <v>411</v>
      </c>
      <c r="C36" s="353" t="s">
        <v>411</v>
      </c>
      <c r="D36" s="354">
        <v>173200</v>
      </c>
      <c r="E36" s="353" t="s">
        <v>411</v>
      </c>
      <c r="F36" s="353" t="s">
        <v>411</v>
      </c>
      <c r="G36" s="353" t="s">
        <v>411</v>
      </c>
      <c r="H36" s="353" t="s">
        <v>411</v>
      </c>
      <c r="I36" s="354">
        <v>25000</v>
      </c>
      <c r="J36" s="354">
        <v>198200</v>
      </c>
      <c r="K36" s="353" t="s">
        <v>411</v>
      </c>
      <c r="L36" s="353" t="s">
        <v>411</v>
      </c>
      <c r="M36" s="354">
        <v>168476</v>
      </c>
      <c r="N36" s="353" t="s">
        <v>411</v>
      </c>
      <c r="O36" s="353" t="s">
        <v>411</v>
      </c>
      <c r="P36" s="353" t="s">
        <v>411</v>
      </c>
      <c r="Q36" s="353" t="s">
        <v>411</v>
      </c>
      <c r="R36" s="354">
        <v>6280</v>
      </c>
      <c r="S36" s="354">
        <v>174756</v>
      </c>
      <c r="T36" s="355">
        <v>0.88170000000000004</v>
      </c>
    </row>
    <row r="37" spans="1:20" s="345" customFormat="1">
      <c r="A37" s="342" t="s">
        <v>139</v>
      </c>
      <c r="B37" s="356" t="s">
        <v>411</v>
      </c>
      <c r="C37" s="356" t="s">
        <v>411</v>
      </c>
      <c r="D37" s="357">
        <v>108040</v>
      </c>
      <c r="E37" s="356" t="s">
        <v>411</v>
      </c>
      <c r="F37" s="356" t="s">
        <v>411</v>
      </c>
      <c r="G37" s="356" t="s">
        <v>411</v>
      </c>
      <c r="H37" s="356" t="s">
        <v>411</v>
      </c>
      <c r="I37" s="357">
        <v>40000</v>
      </c>
      <c r="J37" s="357">
        <v>148040</v>
      </c>
      <c r="K37" s="356" t="s">
        <v>411</v>
      </c>
      <c r="L37" s="356" t="s">
        <v>411</v>
      </c>
      <c r="M37" s="357">
        <v>90092.72</v>
      </c>
      <c r="N37" s="356" t="s">
        <v>411</v>
      </c>
      <c r="O37" s="356" t="s">
        <v>411</v>
      </c>
      <c r="P37" s="356" t="s">
        <v>411</v>
      </c>
      <c r="Q37" s="356" t="s">
        <v>411</v>
      </c>
      <c r="R37" s="357">
        <v>32118</v>
      </c>
      <c r="S37" s="357">
        <v>122210.72</v>
      </c>
      <c r="T37" s="358">
        <v>0.82550000000000001</v>
      </c>
    </row>
    <row r="38" spans="1:20" s="345" customFormat="1">
      <c r="A38" s="342" t="s">
        <v>140</v>
      </c>
      <c r="B38" s="353" t="s">
        <v>411</v>
      </c>
      <c r="C38" s="353" t="s">
        <v>411</v>
      </c>
      <c r="D38" s="354">
        <v>73900</v>
      </c>
      <c r="E38" s="353" t="s">
        <v>411</v>
      </c>
      <c r="F38" s="353" t="s">
        <v>411</v>
      </c>
      <c r="G38" s="353" t="s">
        <v>411</v>
      </c>
      <c r="H38" s="353" t="s">
        <v>411</v>
      </c>
      <c r="I38" s="354">
        <v>25000</v>
      </c>
      <c r="J38" s="354">
        <v>98900</v>
      </c>
      <c r="K38" s="353" t="s">
        <v>411</v>
      </c>
      <c r="L38" s="353" t="s">
        <v>411</v>
      </c>
      <c r="M38" s="354">
        <v>66828</v>
      </c>
      <c r="N38" s="353" t="s">
        <v>411</v>
      </c>
      <c r="O38" s="353" t="s">
        <v>411</v>
      </c>
      <c r="P38" s="353" t="s">
        <v>411</v>
      </c>
      <c r="Q38" s="353" t="s">
        <v>411</v>
      </c>
      <c r="R38" s="354">
        <v>1068</v>
      </c>
      <c r="S38" s="354">
        <v>67896</v>
      </c>
      <c r="T38" s="355">
        <v>0.6865</v>
      </c>
    </row>
    <row r="39" spans="1:20" s="345" customFormat="1">
      <c r="A39" s="342" t="s">
        <v>141</v>
      </c>
      <c r="B39" s="356" t="s">
        <v>411</v>
      </c>
      <c r="C39" s="356" t="s">
        <v>411</v>
      </c>
      <c r="D39" s="357">
        <v>81000</v>
      </c>
      <c r="E39" s="356" t="s">
        <v>411</v>
      </c>
      <c r="F39" s="356" t="s">
        <v>411</v>
      </c>
      <c r="G39" s="356" t="s">
        <v>411</v>
      </c>
      <c r="H39" s="356" t="s">
        <v>411</v>
      </c>
      <c r="I39" s="357">
        <v>41750</v>
      </c>
      <c r="J39" s="357">
        <v>122750</v>
      </c>
      <c r="K39" s="356" t="s">
        <v>411</v>
      </c>
      <c r="L39" s="356" t="s">
        <v>411</v>
      </c>
      <c r="M39" s="357">
        <v>45000</v>
      </c>
      <c r="N39" s="356" t="s">
        <v>411</v>
      </c>
      <c r="O39" s="356" t="s">
        <v>411</v>
      </c>
      <c r="P39" s="356" t="s">
        <v>411</v>
      </c>
      <c r="Q39" s="356" t="s">
        <v>411</v>
      </c>
      <c r="R39" s="357">
        <v>22909</v>
      </c>
      <c r="S39" s="357">
        <v>67909</v>
      </c>
      <c r="T39" s="358">
        <v>0.55320000000000003</v>
      </c>
    </row>
    <row r="40" spans="1:20" s="345" customFormat="1">
      <c r="A40" s="342" t="s">
        <v>142</v>
      </c>
      <c r="B40" s="353" t="s">
        <v>411</v>
      </c>
      <c r="C40" s="353" t="s">
        <v>411</v>
      </c>
      <c r="D40" s="354">
        <v>67420</v>
      </c>
      <c r="E40" s="353" t="s">
        <v>411</v>
      </c>
      <c r="F40" s="353" t="s">
        <v>411</v>
      </c>
      <c r="G40" s="353" t="s">
        <v>411</v>
      </c>
      <c r="H40" s="353" t="s">
        <v>411</v>
      </c>
      <c r="I40" s="354">
        <v>22200</v>
      </c>
      <c r="J40" s="354">
        <v>89620</v>
      </c>
      <c r="K40" s="353" t="s">
        <v>411</v>
      </c>
      <c r="L40" s="353" t="s">
        <v>411</v>
      </c>
      <c r="M40" s="354">
        <v>66150</v>
      </c>
      <c r="N40" s="353" t="s">
        <v>411</v>
      </c>
      <c r="O40" s="353" t="s">
        <v>411</v>
      </c>
      <c r="P40" s="353" t="s">
        <v>411</v>
      </c>
      <c r="Q40" s="353" t="s">
        <v>411</v>
      </c>
      <c r="R40" s="354">
        <v>20510</v>
      </c>
      <c r="S40" s="354">
        <v>86660</v>
      </c>
      <c r="T40" s="355">
        <v>0.96699999999999997</v>
      </c>
    </row>
    <row r="41" spans="1:20" s="362" customFormat="1">
      <c r="A41" s="346" t="s">
        <v>440</v>
      </c>
      <c r="B41" s="359">
        <f>SUM(B28:B40)</f>
        <v>0</v>
      </c>
      <c r="C41" s="359">
        <f t="shared" ref="C41:S41" si="2">SUM(C28:C40)</f>
        <v>0</v>
      </c>
      <c r="D41" s="359">
        <f t="shared" si="2"/>
        <v>3436100</v>
      </c>
      <c r="E41" s="359">
        <f t="shared" si="2"/>
        <v>0</v>
      </c>
      <c r="F41" s="359">
        <f t="shared" si="2"/>
        <v>1480500</v>
      </c>
      <c r="G41" s="359">
        <f t="shared" si="2"/>
        <v>0</v>
      </c>
      <c r="H41" s="359">
        <f t="shared" si="2"/>
        <v>1596400</v>
      </c>
      <c r="I41" s="359">
        <f t="shared" si="2"/>
        <v>5917000</v>
      </c>
      <c r="J41" s="359">
        <f t="shared" si="2"/>
        <v>12430000</v>
      </c>
      <c r="K41" s="359">
        <f t="shared" si="2"/>
        <v>0</v>
      </c>
      <c r="L41" s="359">
        <f t="shared" si="2"/>
        <v>0</v>
      </c>
      <c r="M41" s="359">
        <f t="shared" si="2"/>
        <v>3023919.9600000004</v>
      </c>
      <c r="N41" s="359">
        <f t="shared" si="2"/>
        <v>0</v>
      </c>
      <c r="O41" s="359">
        <f t="shared" si="2"/>
        <v>1469100</v>
      </c>
      <c r="P41" s="359">
        <f t="shared" si="2"/>
        <v>0</v>
      </c>
      <c r="Q41" s="359">
        <f t="shared" si="2"/>
        <v>1596400</v>
      </c>
      <c r="R41" s="359">
        <f t="shared" si="2"/>
        <v>4455603.2</v>
      </c>
      <c r="S41" s="359">
        <f t="shared" si="2"/>
        <v>10545023.16</v>
      </c>
      <c r="T41" s="361"/>
    </row>
    <row r="42" spans="1:20" s="345" customFormat="1">
      <c r="A42" s="342" t="s">
        <v>143</v>
      </c>
      <c r="B42" s="356" t="s">
        <v>411</v>
      </c>
      <c r="C42" s="356" t="s">
        <v>411</v>
      </c>
      <c r="D42" s="357">
        <v>748100</v>
      </c>
      <c r="E42" s="356" t="s">
        <v>411</v>
      </c>
      <c r="F42" s="356" t="s">
        <v>411</v>
      </c>
      <c r="G42" s="356" t="s">
        <v>411</v>
      </c>
      <c r="H42" s="357">
        <v>1774400</v>
      </c>
      <c r="I42" s="357">
        <v>5178382</v>
      </c>
      <c r="J42" s="357">
        <v>7700882</v>
      </c>
      <c r="K42" s="356" t="s">
        <v>411</v>
      </c>
      <c r="L42" s="356" t="s">
        <v>411</v>
      </c>
      <c r="M42" s="357">
        <v>747437.24</v>
      </c>
      <c r="N42" s="356" t="s">
        <v>411</v>
      </c>
      <c r="O42" s="356" t="s">
        <v>411</v>
      </c>
      <c r="P42" s="356" t="s">
        <v>411</v>
      </c>
      <c r="Q42" s="357">
        <v>1774400</v>
      </c>
      <c r="R42" s="357">
        <v>5074618</v>
      </c>
      <c r="S42" s="357">
        <v>7596455.2400000002</v>
      </c>
      <c r="T42" s="358">
        <v>0.98640000000000005</v>
      </c>
    </row>
    <row r="43" spans="1:20" s="345" customFormat="1">
      <c r="A43" s="342" t="s">
        <v>144</v>
      </c>
      <c r="B43" s="353" t="s">
        <v>411</v>
      </c>
      <c r="C43" s="353" t="s">
        <v>411</v>
      </c>
      <c r="D43" s="354">
        <v>85910</v>
      </c>
      <c r="E43" s="353" t="s">
        <v>411</v>
      </c>
      <c r="F43" s="354">
        <v>750000</v>
      </c>
      <c r="G43" s="353" t="s">
        <v>411</v>
      </c>
      <c r="H43" s="353" t="s">
        <v>411</v>
      </c>
      <c r="I43" s="354">
        <v>25000</v>
      </c>
      <c r="J43" s="354">
        <v>860910</v>
      </c>
      <c r="K43" s="353" t="s">
        <v>411</v>
      </c>
      <c r="L43" s="353" t="s">
        <v>411</v>
      </c>
      <c r="M43" s="354">
        <v>85870</v>
      </c>
      <c r="N43" s="353" t="s">
        <v>411</v>
      </c>
      <c r="O43" s="354">
        <v>748900</v>
      </c>
      <c r="P43" s="353" t="s">
        <v>411</v>
      </c>
      <c r="Q43" s="353" t="s">
        <v>411</v>
      </c>
      <c r="R43" s="354">
        <v>25000</v>
      </c>
      <c r="S43" s="354">
        <v>859770</v>
      </c>
      <c r="T43" s="355">
        <v>0.99870000000000003</v>
      </c>
    </row>
    <row r="44" spans="1:20" s="345" customFormat="1">
      <c r="A44" s="342" t="s">
        <v>145</v>
      </c>
      <c r="B44" s="356" t="s">
        <v>411</v>
      </c>
      <c r="C44" s="356" t="s">
        <v>411</v>
      </c>
      <c r="D44" s="357">
        <v>72410</v>
      </c>
      <c r="E44" s="356" t="s">
        <v>411</v>
      </c>
      <c r="F44" s="356" t="s">
        <v>411</v>
      </c>
      <c r="G44" s="356" t="s">
        <v>411</v>
      </c>
      <c r="H44" s="356" t="s">
        <v>411</v>
      </c>
      <c r="I44" s="357">
        <v>30000</v>
      </c>
      <c r="J44" s="357">
        <v>102410</v>
      </c>
      <c r="K44" s="356" t="s">
        <v>411</v>
      </c>
      <c r="L44" s="356" t="s">
        <v>411</v>
      </c>
      <c r="M44" s="357">
        <v>72410</v>
      </c>
      <c r="N44" s="356" t="s">
        <v>411</v>
      </c>
      <c r="O44" s="356" t="s">
        <v>411</v>
      </c>
      <c r="P44" s="356" t="s">
        <v>411</v>
      </c>
      <c r="Q44" s="356" t="s">
        <v>411</v>
      </c>
      <c r="R44" s="357">
        <v>30000</v>
      </c>
      <c r="S44" s="357">
        <v>102410</v>
      </c>
      <c r="T44" s="358">
        <v>1</v>
      </c>
    </row>
    <row r="45" spans="1:20" s="345" customFormat="1">
      <c r="A45" s="342" t="s">
        <v>146</v>
      </c>
      <c r="B45" s="353" t="s">
        <v>411</v>
      </c>
      <c r="C45" s="353" t="s">
        <v>411</v>
      </c>
      <c r="D45" s="354">
        <v>138780</v>
      </c>
      <c r="E45" s="353" t="s">
        <v>411</v>
      </c>
      <c r="F45" s="353" t="s">
        <v>411</v>
      </c>
      <c r="G45" s="353" t="s">
        <v>411</v>
      </c>
      <c r="H45" s="353" t="s">
        <v>411</v>
      </c>
      <c r="I45" s="354">
        <v>30000</v>
      </c>
      <c r="J45" s="354">
        <v>168780</v>
      </c>
      <c r="K45" s="353" t="s">
        <v>411</v>
      </c>
      <c r="L45" s="353" t="s">
        <v>411</v>
      </c>
      <c r="M45" s="354">
        <v>138051</v>
      </c>
      <c r="N45" s="353" t="s">
        <v>411</v>
      </c>
      <c r="O45" s="353" t="s">
        <v>411</v>
      </c>
      <c r="P45" s="353" t="s">
        <v>411</v>
      </c>
      <c r="Q45" s="353" t="s">
        <v>411</v>
      </c>
      <c r="R45" s="354">
        <v>25824</v>
      </c>
      <c r="S45" s="354">
        <v>163875</v>
      </c>
      <c r="T45" s="355">
        <v>0.97089999999999999</v>
      </c>
    </row>
    <row r="46" spans="1:20" s="345" customFormat="1">
      <c r="A46" s="342" t="s">
        <v>147</v>
      </c>
      <c r="B46" s="356" t="s">
        <v>411</v>
      </c>
      <c r="C46" s="356" t="s">
        <v>411</v>
      </c>
      <c r="D46" s="357">
        <v>166700</v>
      </c>
      <c r="E46" s="356" t="s">
        <v>411</v>
      </c>
      <c r="F46" s="356" t="s">
        <v>411</v>
      </c>
      <c r="G46" s="356" t="s">
        <v>411</v>
      </c>
      <c r="H46" s="356" t="s">
        <v>411</v>
      </c>
      <c r="I46" s="357">
        <v>30000</v>
      </c>
      <c r="J46" s="357">
        <v>196700</v>
      </c>
      <c r="K46" s="356" t="s">
        <v>411</v>
      </c>
      <c r="L46" s="356" t="s">
        <v>411</v>
      </c>
      <c r="M46" s="357">
        <v>164753.5</v>
      </c>
      <c r="N46" s="356" t="s">
        <v>411</v>
      </c>
      <c r="O46" s="356" t="s">
        <v>411</v>
      </c>
      <c r="P46" s="356" t="s">
        <v>411</v>
      </c>
      <c r="Q46" s="356" t="s">
        <v>411</v>
      </c>
      <c r="R46" s="357">
        <v>30000</v>
      </c>
      <c r="S46" s="357">
        <v>194753.5</v>
      </c>
      <c r="T46" s="358">
        <v>0.99009999999999998</v>
      </c>
    </row>
    <row r="47" spans="1:20" s="345" customFormat="1">
      <c r="A47" s="342" t="s">
        <v>148</v>
      </c>
      <c r="B47" s="353" t="s">
        <v>411</v>
      </c>
      <c r="C47" s="353" t="s">
        <v>411</v>
      </c>
      <c r="D47" s="354">
        <v>58500</v>
      </c>
      <c r="E47" s="353" t="s">
        <v>411</v>
      </c>
      <c r="F47" s="353" t="s">
        <v>411</v>
      </c>
      <c r="G47" s="353" t="s">
        <v>411</v>
      </c>
      <c r="H47" s="353" t="s">
        <v>411</v>
      </c>
      <c r="I47" s="354">
        <v>30000</v>
      </c>
      <c r="J47" s="354">
        <v>88500</v>
      </c>
      <c r="K47" s="353" t="s">
        <v>411</v>
      </c>
      <c r="L47" s="353" t="s">
        <v>411</v>
      </c>
      <c r="M47" s="354">
        <v>58500</v>
      </c>
      <c r="N47" s="353" t="s">
        <v>411</v>
      </c>
      <c r="O47" s="353" t="s">
        <v>411</v>
      </c>
      <c r="P47" s="353" t="s">
        <v>411</v>
      </c>
      <c r="Q47" s="353" t="s">
        <v>411</v>
      </c>
      <c r="R47" s="354">
        <v>29904</v>
      </c>
      <c r="S47" s="354">
        <v>88404</v>
      </c>
      <c r="T47" s="355">
        <v>0.99890000000000001</v>
      </c>
    </row>
    <row r="48" spans="1:20" s="345" customFormat="1">
      <c r="A48" s="342" t="s">
        <v>149</v>
      </c>
      <c r="B48" s="356" t="s">
        <v>411</v>
      </c>
      <c r="C48" s="356" t="s">
        <v>411</v>
      </c>
      <c r="D48" s="357">
        <v>74400</v>
      </c>
      <c r="E48" s="356" t="s">
        <v>411</v>
      </c>
      <c r="F48" s="356" t="s">
        <v>411</v>
      </c>
      <c r="G48" s="356" t="s">
        <v>411</v>
      </c>
      <c r="H48" s="356" t="s">
        <v>411</v>
      </c>
      <c r="I48" s="357">
        <v>30000</v>
      </c>
      <c r="J48" s="357">
        <v>104400</v>
      </c>
      <c r="K48" s="356" t="s">
        <v>411</v>
      </c>
      <c r="L48" s="356" t="s">
        <v>411</v>
      </c>
      <c r="M48" s="357">
        <v>73102</v>
      </c>
      <c r="N48" s="356" t="s">
        <v>411</v>
      </c>
      <c r="O48" s="356" t="s">
        <v>411</v>
      </c>
      <c r="P48" s="356" t="s">
        <v>411</v>
      </c>
      <c r="Q48" s="356" t="s">
        <v>411</v>
      </c>
      <c r="R48" s="357">
        <v>30000</v>
      </c>
      <c r="S48" s="357">
        <v>103102</v>
      </c>
      <c r="T48" s="358">
        <v>0.98760000000000003</v>
      </c>
    </row>
    <row r="49" spans="1:20" s="345" customFormat="1">
      <c r="A49" s="342" t="s">
        <v>150</v>
      </c>
      <c r="B49" s="353" t="s">
        <v>411</v>
      </c>
      <c r="C49" s="353" t="s">
        <v>411</v>
      </c>
      <c r="D49" s="354">
        <v>27000</v>
      </c>
      <c r="E49" s="353" t="s">
        <v>411</v>
      </c>
      <c r="F49" s="353" t="s">
        <v>411</v>
      </c>
      <c r="G49" s="353" t="s">
        <v>411</v>
      </c>
      <c r="H49" s="353" t="s">
        <v>411</v>
      </c>
      <c r="I49" s="354">
        <v>30000</v>
      </c>
      <c r="J49" s="354">
        <v>57000</v>
      </c>
      <c r="K49" s="353" t="s">
        <v>411</v>
      </c>
      <c r="L49" s="353" t="s">
        <v>411</v>
      </c>
      <c r="M49" s="354">
        <v>25190</v>
      </c>
      <c r="N49" s="353" t="s">
        <v>411</v>
      </c>
      <c r="O49" s="353" t="s">
        <v>411</v>
      </c>
      <c r="P49" s="353" t="s">
        <v>411</v>
      </c>
      <c r="Q49" s="353" t="s">
        <v>411</v>
      </c>
      <c r="R49" s="354">
        <v>30000</v>
      </c>
      <c r="S49" s="354">
        <v>55190</v>
      </c>
      <c r="T49" s="355">
        <v>0.96819999999999995</v>
      </c>
    </row>
    <row r="50" spans="1:20" s="345" customFormat="1">
      <c r="A50" s="342" t="s">
        <v>151</v>
      </c>
      <c r="B50" s="356" t="s">
        <v>411</v>
      </c>
      <c r="C50" s="356" t="s">
        <v>411</v>
      </c>
      <c r="D50" s="357">
        <v>25000</v>
      </c>
      <c r="E50" s="356" t="s">
        <v>411</v>
      </c>
      <c r="F50" s="356" t="s">
        <v>411</v>
      </c>
      <c r="G50" s="356" t="s">
        <v>411</v>
      </c>
      <c r="H50" s="356" t="s">
        <v>411</v>
      </c>
      <c r="I50" s="357">
        <v>30000</v>
      </c>
      <c r="J50" s="357">
        <v>55000</v>
      </c>
      <c r="K50" s="356" t="s">
        <v>411</v>
      </c>
      <c r="L50" s="356" t="s">
        <v>411</v>
      </c>
      <c r="M50" s="357">
        <v>24416.5</v>
      </c>
      <c r="N50" s="356" t="s">
        <v>411</v>
      </c>
      <c r="O50" s="356" t="s">
        <v>411</v>
      </c>
      <c r="P50" s="356" t="s">
        <v>411</v>
      </c>
      <c r="Q50" s="356" t="s">
        <v>411</v>
      </c>
      <c r="R50" s="357">
        <v>29940</v>
      </c>
      <c r="S50" s="357">
        <v>54356.5</v>
      </c>
      <c r="T50" s="358">
        <v>0.98829999999999996</v>
      </c>
    </row>
    <row r="51" spans="1:20" s="345" customFormat="1">
      <c r="A51" s="342" t="s">
        <v>152</v>
      </c>
      <c r="B51" s="353" t="s">
        <v>411</v>
      </c>
      <c r="C51" s="353" t="s">
        <v>411</v>
      </c>
      <c r="D51" s="354">
        <v>37400</v>
      </c>
      <c r="E51" s="353" t="s">
        <v>411</v>
      </c>
      <c r="F51" s="354">
        <v>221800</v>
      </c>
      <c r="G51" s="353" t="s">
        <v>411</v>
      </c>
      <c r="H51" s="353" t="s">
        <v>411</v>
      </c>
      <c r="I51" s="354">
        <v>30000</v>
      </c>
      <c r="J51" s="354">
        <v>289200</v>
      </c>
      <c r="K51" s="353" t="s">
        <v>411</v>
      </c>
      <c r="L51" s="353" t="s">
        <v>411</v>
      </c>
      <c r="M51" s="354">
        <v>37400</v>
      </c>
      <c r="N51" s="353" t="s">
        <v>411</v>
      </c>
      <c r="O51" s="354">
        <v>221800</v>
      </c>
      <c r="P51" s="353" t="s">
        <v>411</v>
      </c>
      <c r="Q51" s="353" t="s">
        <v>411</v>
      </c>
      <c r="R51" s="354">
        <v>30000</v>
      </c>
      <c r="S51" s="354">
        <v>289200</v>
      </c>
      <c r="T51" s="355">
        <v>1</v>
      </c>
    </row>
    <row r="52" spans="1:20" s="345" customFormat="1">
      <c r="A52" s="342" t="s">
        <v>153</v>
      </c>
      <c r="B52" s="353" t="s">
        <v>411</v>
      </c>
      <c r="C52" s="353" t="s">
        <v>411</v>
      </c>
      <c r="D52" s="354">
        <v>316500</v>
      </c>
      <c r="E52" s="353" t="s">
        <v>411</v>
      </c>
      <c r="F52" s="353" t="s">
        <v>411</v>
      </c>
      <c r="G52" s="353" t="s">
        <v>411</v>
      </c>
      <c r="H52" s="353" t="s">
        <v>411</v>
      </c>
      <c r="I52" s="354">
        <v>86700</v>
      </c>
      <c r="J52" s="354">
        <v>403200</v>
      </c>
      <c r="K52" s="353" t="s">
        <v>411</v>
      </c>
      <c r="L52" s="353" t="s">
        <v>411</v>
      </c>
      <c r="M52" s="354">
        <v>315327</v>
      </c>
      <c r="N52" s="353" t="s">
        <v>411</v>
      </c>
      <c r="O52" s="353" t="s">
        <v>411</v>
      </c>
      <c r="P52" s="353" t="s">
        <v>411</v>
      </c>
      <c r="Q52" s="353" t="s">
        <v>411</v>
      </c>
      <c r="R52" s="354">
        <v>85700</v>
      </c>
      <c r="S52" s="354">
        <v>401027</v>
      </c>
      <c r="T52" s="355">
        <v>0.99460000000000004</v>
      </c>
    </row>
    <row r="53" spans="1:20" s="345" customFormat="1">
      <c r="A53" s="342" t="s">
        <v>265</v>
      </c>
      <c r="B53" s="356" t="s">
        <v>411</v>
      </c>
      <c r="C53" s="356" t="s">
        <v>411</v>
      </c>
      <c r="D53" s="357">
        <v>36500</v>
      </c>
      <c r="E53" s="356" t="s">
        <v>411</v>
      </c>
      <c r="F53" s="356" t="s">
        <v>411</v>
      </c>
      <c r="G53" s="356" t="s">
        <v>411</v>
      </c>
      <c r="H53" s="356" t="s">
        <v>411</v>
      </c>
      <c r="I53" s="357">
        <v>30000</v>
      </c>
      <c r="J53" s="357">
        <v>66500</v>
      </c>
      <c r="K53" s="356" t="s">
        <v>411</v>
      </c>
      <c r="L53" s="356" t="s">
        <v>411</v>
      </c>
      <c r="M53" s="357">
        <v>36500</v>
      </c>
      <c r="N53" s="356" t="s">
        <v>411</v>
      </c>
      <c r="O53" s="356" t="s">
        <v>411</v>
      </c>
      <c r="P53" s="356" t="s">
        <v>411</v>
      </c>
      <c r="Q53" s="356" t="s">
        <v>411</v>
      </c>
      <c r="R53" s="357">
        <v>30000</v>
      </c>
      <c r="S53" s="357">
        <v>66500</v>
      </c>
      <c r="T53" s="358">
        <v>1</v>
      </c>
    </row>
    <row r="54" spans="1:20" s="362" customFormat="1">
      <c r="A54" s="346" t="s">
        <v>434</v>
      </c>
      <c r="B54" s="363">
        <f>SUM(B42:B53)</f>
        <v>0</v>
      </c>
      <c r="C54" s="363">
        <f t="shared" ref="C54:S54" si="3">SUM(C42:C53)</f>
        <v>0</v>
      </c>
      <c r="D54" s="363">
        <f t="shared" si="3"/>
        <v>1787200</v>
      </c>
      <c r="E54" s="363">
        <f t="shared" si="3"/>
        <v>0</v>
      </c>
      <c r="F54" s="363">
        <f t="shared" si="3"/>
        <v>971800</v>
      </c>
      <c r="G54" s="363">
        <f t="shared" si="3"/>
        <v>0</v>
      </c>
      <c r="H54" s="363">
        <f t="shared" si="3"/>
        <v>1774400</v>
      </c>
      <c r="I54" s="363">
        <f t="shared" si="3"/>
        <v>5560082</v>
      </c>
      <c r="J54" s="363">
        <f t="shared" si="3"/>
        <v>10093482</v>
      </c>
      <c r="K54" s="363">
        <f t="shared" si="3"/>
        <v>0</v>
      </c>
      <c r="L54" s="363">
        <f t="shared" si="3"/>
        <v>0</v>
      </c>
      <c r="M54" s="363">
        <f t="shared" si="3"/>
        <v>1778957.24</v>
      </c>
      <c r="N54" s="363">
        <f t="shared" si="3"/>
        <v>0</v>
      </c>
      <c r="O54" s="363">
        <f t="shared" si="3"/>
        <v>970700</v>
      </c>
      <c r="P54" s="363">
        <f t="shared" si="3"/>
        <v>0</v>
      </c>
      <c r="Q54" s="363">
        <f t="shared" si="3"/>
        <v>1774400</v>
      </c>
      <c r="R54" s="363">
        <f t="shared" si="3"/>
        <v>5450986</v>
      </c>
      <c r="S54" s="363">
        <f t="shared" si="3"/>
        <v>9975043.2400000002</v>
      </c>
      <c r="T54" s="365"/>
    </row>
    <row r="55" spans="1:20" s="345" customFormat="1">
      <c r="A55" s="342" t="s">
        <v>154</v>
      </c>
      <c r="B55" s="353" t="s">
        <v>411</v>
      </c>
      <c r="C55" s="353" t="s">
        <v>411</v>
      </c>
      <c r="D55" s="354">
        <v>209320</v>
      </c>
      <c r="E55" s="353" t="s">
        <v>411</v>
      </c>
      <c r="F55" s="353" t="s">
        <v>411</v>
      </c>
      <c r="G55" s="353" t="s">
        <v>411</v>
      </c>
      <c r="H55" s="353" t="s">
        <v>411</v>
      </c>
      <c r="I55" s="354">
        <v>3973600</v>
      </c>
      <c r="J55" s="354">
        <v>4182920</v>
      </c>
      <c r="K55" s="353" t="s">
        <v>411</v>
      </c>
      <c r="L55" s="353" t="s">
        <v>411</v>
      </c>
      <c r="M55" s="354">
        <v>200794</v>
      </c>
      <c r="N55" s="353" t="s">
        <v>411</v>
      </c>
      <c r="O55" s="353" t="s">
        <v>411</v>
      </c>
      <c r="P55" s="353" t="s">
        <v>411</v>
      </c>
      <c r="Q55" s="353" t="s">
        <v>411</v>
      </c>
      <c r="R55" s="354">
        <v>1937121.25</v>
      </c>
      <c r="S55" s="354">
        <v>2137915.25</v>
      </c>
      <c r="T55" s="355">
        <v>0.5111</v>
      </c>
    </row>
    <row r="56" spans="1:20" s="345" customFormat="1">
      <c r="A56" s="342" t="s">
        <v>155</v>
      </c>
      <c r="B56" s="356" t="s">
        <v>411</v>
      </c>
      <c r="C56" s="356" t="s">
        <v>411</v>
      </c>
      <c r="D56" s="357">
        <v>55400</v>
      </c>
      <c r="E56" s="356" t="s">
        <v>411</v>
      </c>
      <c r="F56" s="357">
        <v>800000</v>
      </c>
      <c r="G56" s="356" t="s">
        <v>411</v>
      </c>
      <c r="H56" s="357">
        <v>1387900</v>
      </c>
      <c r="I56" s="357">
        <v>41500</v>
      </c>
      <c r="J56" s="357">
        <v>2284800</v>
      </c>
      <c r="K56" s="356" t="s">
        <v>411</v>
      </c>
      <c r="L56" s="356" t="s">
        <v>411</v>
      </c>
      <c r="M56" s="357">
        <v>55399.6</v>
      </c>
      <c r="N56" s="356" t="s">
        <v>411</v>
      </c>
      <c r="O56" s="357">
        <v>800000</v>
      </c>
      <c r="P56" s="356" t="s">
        <v>411</v>
      </c>
      <c r="Q56" s="357">
        <v>1387900</v>
      </c>
      <c r="R56" s="357">
        <v>41500</v>
      </c>
      <c r="S56" s="357">
        <v>2284799.6</v>
      </c>
      <c r="T56" s="358">
        <v>1</v>
      </c>
    </row>
    <row r="57" spans="1:20" s="345" customFormat="1">
      <c r="A57" s="342" t="s">
        <v>156</v>
      </c>
      <c r="B57" s="353" t="s">
        <v>411</v>
      </c>
      <c r="C57" s="353" t="s">
        <v>411</v>
      </c>
      <c r="D57" s="354">
        <v>140660</v>
      </c>
      <c r="E57" s="353" t="s">
        <v>411</v>
      </c>
      <c r="F57" s="354">
        <v>930000</v>
      </c>
      <c r="G57" s="353" t="s">
        <v>411</v>
      </c>
      <c r="H57" s="353" t="s">
        <v>411</v>
      </c>
      <c r="I57" s="354">
        <v>21500</v>
      </c>
      <c r="J57" s="354">
        <v>1092160</v>
      </c>
      <c r="K57" s="353" t="s">
        <v>411</v>
      </c>
      <c r="L57" s="353" t="s">
        <v>411</v>
      </c>
      <c r="M57" s="354">
        <v>140574</v>
      </c>
      <c r="N57" s="353" t="s">
        <v>411</v>
      </c>
      <c r="O57" s="354">
        <v>925000</v>
      </c>
      <c r="P57" s="353" t="s">
        <v>411</v>
      </c>
      <c r="Q57" s="353" t="s">
        <v>411</v>
      </c>
      <c r="R57" s="354">
        <v>20850</v>
      </c>
      <c r="S57" s="354">
        <v>1086424</v>
      </c>
      <c r="T57" s="355">
        <v>0.99470000000000003</v>
      </c>
    </row>
    <row r="58" spans="1:20" s="345" customFormat="1">
      <c r="A58" s="342" t="s">
        <v>157</v>
      </c>
      <c r="B58" s="356" t="s">
        <v>411</v>
      </c>
      <c r="C58" s="356" t="s">
        <v>411</v>
      </c>
      <c r="D58" s="357">
        <v>94550</v>
      </c>
      <c r="E58" s="356" t="s">
        <v>411</v>
      </c>
      <c r="F58" s="356" t="s">
        <v>411</v>
      </c>
      <c r="G58" s="356" t="s">
        <v>411</v>
      </c>
      <c r="H58" s="357">
        <v>276200</v>
      </c>
      <c r="I58" s="357">
        <v>45800</v>
      </c>
      <c r="J58" s="357">
        <v>416550</v>
      </c>
      <c r="K58" s="356" t="s">
        <v>411</v>
      </c>
      <c r="L58" s="356" t="s">
        <v>411</v>
      </c>
      <c r="M58" s="357">
        <v>93548</v>
      </c>
      <c r="N58" s="356" t="s">
        <v>411</v>
      </c>
      <c r="O58" s="356" t="s">
        <v>411</v>
      </c>
      <c r="P58" s="356" t="s">
        <v>411</v>
      </c>
      <c r="Q58" s="357">
        <v>276200</v>
      </c>
      <c r="R58" s="357">
        <v>36800</v>
      </c>
      <c r="S58" s="357">
        <v>406548</v>
      </c>
      <c r="T58" s="358">
        <v>0.97599999999999998</v>
      </c>
    </row>
    <row r="59" spans="1:20" s="345" customFormat="1">
      <c r="A59" s="342" t="s">
        <v>158</v>
      </c>
      <c r="B59" s="353" t="s">
        <v>411</v>
      </c>
      <c r="C59" s="353" t="s">
        <v>411</v>
      </c>
      <c r="D59" s="354">
        <v>88460</v>
      </c>
      <c r="E59" s="353" t="s">
        <v>411</v>
      </c>
      <c r="F59" s="353" t="s">
        <v>411</v>
      </c>
      <c r="G59" s="353" t="s">
        <v>411</v>
      </c>
      <c r="H59" s="354">
        <v>448800</v>
      </c>
      <c r="I59" s="354">
        <v>41500</v>
      </c>
      <c r="J59" s="354">
        <v>578760</v>
      </c>
      <c r="K59" s="353" t="s">
        <v>411</v>
      </c>
      <c r="L59" s="353" t="s">
        <v>411</v>
      </c>
      <c r="M59" s="354">
        <v>82722</v>
      </c>
      <c r="N59" s="353" t="s">
        <v>411</v>
      </c>
      <c r="O59" s="353" t="s">
        <v>411</v>
      </c>
      <c r="P59" s="353" t="s">
        <v>411</v>
      </c>
      <c r="Q59" s="354">
        <v>448800</v>
      </c>
      <c r="R59" s="354">
        <v>33882</v>
      </c>
      <c r="S59" s="354">
        <v>565404</v>
      </c>
      <c r="T59" s="355">
        <v>0.97689999999999999</v>
      </c>
    </row>
    <row r="60" spans="1:20" s="345" customFormat="1">
      <c r="A60" s="342" t="s">
        <v>159</v>
      </c>
      <c r="B60" s="356" t="s">
        <v>411</v>
      </c>
      <c r="C60" s="356" t="s">
        <v>411</v>
      </c>
      <c r="D60" s="357">
        <v>59750</v>
      </c>
      <c r="E60" s="356" t="s">
        <v>411</v>
      </c>
      <c r="F60" s="356" t="s">
        <v>411</v>
      </c>
      <c r="G60" s="356" t="s">
        <v>411</v>
      </c>
      <c r="H60" s="357">
        <v>310700</v>
      </c>
      <c r="I60" s="357">
        <v>41500</v>
      </c>
      <c r="J60" s="357">
        <v>411950</v>
      </c>
      <c r="K60" s="356" t="s">
        <v>411</v>
      </c>
      <c r="L60" s="356" t="s">
        <v>411</v>
      </c>
      <c r="M60" s="357">
        <v>59650</v>
      </c>
      <c r="N60" s="356" t="s">
        <v>411</v>
      </c>
      <c r="O60" s="356" t="s">
        <v>411</v>
      </c>
      <c r="P60" s="356" t="s">
        <v>411</v>
      </c>
      <c r="Q60" s="357">
        <v>310700</v>
      </c>
      <c r="R60" s="357">
        <v>40530</v>
      </c>
      <c r="S60" s="357">
        <v>410880</v>
      </c>
      <c r="T60" s="358">
        <v>0.99739999999999995</v>
      </c>
    </row>
    <row r="61" spans="1:20" s="345" customFormat="1">
      <c r="A61" s="342" t="s">
        <v>160</v>
      </c>
      <c r="B61" s="353" t="s">
        <v>411</v>
      </c>
      <c r="C61" s="353" t="s">
        <v>411</v>
      </c>
      <c r="D61" s="354">
        <v>141530</v>
      </c>
      <c r="E61" s="353" t="s">
        <v>411</v>
      </c>
      <c r="F61" s="353" t="s">
        <v>411</v>
      </c>
      <c r="G61" s="353" t="s">
        <v>411</v>
      </c>
      <c r="H61" s="353" t="s">
        <v>411</v>
      </c>
      <c r="I61" s="354">
        <v>45800</v>
      </c>
      <c r="J61" s="354">
        <v>187330</v>
      </c>
      <c r="K61" s="353" t="s">
        <v>411</v>
      </c>
      <c r="L61" s="353" t="s">
        <v>411</v>
      </c>
      <c r="M61" s="354">
        <v>131765.20000000001</v>
      </c>
      <c r="N61" s="353" t="s">
        <v>411</v>
      </c>
      <c r="O61" s="353" t="s">
        <v>411</v>
      </c>
      <c r="P61" s="353" t="s">
        <v>411</v>
      </c>
      <c r="Q61" s="353" t="s">
        <v>411</v>
      </c>
      <c r="R61" s="354">
        <v>40178</v>
      </c>
      <c r="S61" s="354">
        <v>171943.2</v>
      </c>
      <c r="T61" s="355">
        <v>0.91790000000000005</v>
      </c>
    </row>
    <row r="62" spans="1:20" s="345" customFormat="1">
      <c r="A62" s="342" t="s">
        <v>161</v>
      </c>
      <c r="B62" s="356" t="s">
        <v>411</v>
      </c>
      <c r="C62" s="356" t="s">
        <v>411</v>
      </c>
      <c r="D62" s="357">
        <v>47570</v>
      </c>
      <c r="E62" s="356" t="s">
        <v>411</v>
      </c>
      <c r="F62" s="356" t="s">
        <v>411</v>
      </c>
      <c r="G62" s="356" t="s">
        <v>411</v>
      </c>
      <c r="H62" s="356" t="s">
        <v>411</v>
      </c>
      <c r="I62" s="357">
        <v>41500</v>
      </c>
      <c r="J62" s="357">
        <v>89070</v>
      </c>
      <c r="K62" s="356" t="s">
        <v>411</v>
      </c>
      <c r="L62" s="356" t="s">
        <v>411</v>
      </c>
      <c r="M62" s="357">
        <v>47570</v>
      </c>
      <c r="N62" s="356" t="s">
        <v>411</v>
      </c>
      <c r="O62" s="356" t="s">
        <v>411</v>
      </c>
      <c r="P62" s="356" t="s">
        <v>411</v>
      </c>
      <c r="Q62" s="356" t="s">
        <v>411</v>
      </c>
      <c r="R62" s="357">
        <v>41414</v>
      </c>
      <c r="S62" s="357">
        <v>88984</v>
      </c>
      <c r="T62" s="358">
        <v>0.999</v>
      </c>
    </row>
    <row r="63" spans="1:20" s="345" customFormat="1">
      <c r="A63" s="342" t="s">
        <v>162</v>
      </c>
      <c r="B63" s="353" t="s">
        <v>411</v>
      </c>
      <c r="C63" s="353" t="s">
        <v>411</v>
      </c>
      <c r="D63" s="354">
        <v>89330</v>
      </c>
      <c r="E63" s="353" t="s">
        <v>411</v>
      </c>
      <c r="F63" s="354">
        <v>960000</v>
      </c>
      <c r="G63" s="353" t="s">
        <v>411</v>
      </c>
      <c r="H63" s="353" t="s">
        <v>411</v>
      </c>
      <c r="I63" s="354">
        <v>41500</v>
      </c>
      <c r="J63" s="354">
        <v>1090830</v>
      </c>
      <c r="K63" s="353" t="s">
        <v>411</v>
      </c>
      <c r="L63" s="353" t="s">
        <v>411</v>
      </c>
      <c r="M63" s="354">
        <v>85065.600000000006</v>
      </c>
      <c r="N63" s="353" t="s">
        <v>411</v>
      </c>
      <c r="O63" s="354">
        <v>951000</v>
      </c>
      <c r="P63" s="353" t="s">
        <v>411</v>
      </c>
      <c r="Q63" s="353" t="s">
        <v>411</v>
      </c>
      <c r="R63" s="354">
        <v>32214</v>
      </c>
      <c r="S63" s="354">
        <v>1068279.6000000001</v>
      </c>
      <c r="T63" s="355">
        <v>0.97929999999999995</v>
      </c>
    </row>
    <row r="64" spans="1:20" s="345" customFormat="1">
      <c r="A64" s="342" t="s">
        <v>163</v>
      </c>
      <c r="B64" s="356" t="s">
        <v>411</v>
      </c>
      <c r="C64" s="356" t="s">
        <v>411</v>
      </c>
      <c r="D64" s="357">
        <v>80630</v>
      </c>
      <c r="E64" s="356" t="s">
        <v>411</v>
      </c>
      <c r="F64" s="356" t="s">
        <v>411</v>
      </c>
      <c r="G64" s="356" t="s">
        <v>411</v>
      </c>
      <c r="H64" s="356" t="s">
        <v>411</v>
      </c>
      <c r="I64" s="357">
        <v>41500</v>
      </c>
      <c r="J64" s="357">
        <v>122130</v>
      </c>
      <c r="K64" s="356" t="s">
        <v>411</v>
      </c>
      <c r="L64" s="356" t="s">
        <v>411</v>
      </c>
      <c r="M64" s="357">
        <v>79838</v>
      </c>
      <c r="N64" s="356" t="s">
        <v>411</v>
      </c>
      <c r="O64" s="356" t="s">
        <v>411</v>
      </c>
      <c r="P64" s="356" t="s">
        <v>411</v>
      </c>
      <c r="Q64" s="356" t="s">
        <v>411</v>
      </c>
      <c r="R64" s="357">
        <v>41128</v>
      </c>
      <c r="S64" s="357">
        <v>120966</v>
      </c>
      <c r="T64" s="358">
        <v>0.99050000000000005</v>
      </c>
    </row>
    <row r="65" spans="1:20" s="362" customFormat="1">
      <c r="A65" s="346" t="s">
        <v>275</v>
      </c>
      <c r="B65" s="363">
        <f>SUM(B55:B64)</f>
        <v>0</v>
      </c>
      <c r="C65" s="363">
        <f t="shared" ref="C65:S65" si="4">SUM(C55:C64)</f>
        <v>0</v>
      </c>
      <c r="D65" s="363">
        <f t="shared" si="4"/>
        <v>1007200</v>
      </c>
      <c r="E65" s="363">
        <f t="shared" si="4"/>
        <v>0</v>
      </c>
      <c r="F65" s="363">
        <f t="shared" si="4"/>
        <v>2690000</v>
      </c>
      <c r="G65" s="363">
        <f t="shared" si="4"/>
        <v>0</v>
      </c>
      <c r="H65" s="363">
        <f t="shared" si="4"/>
        <v>2423600</v>
      </c>
      <c r="I65" s="363">
        <f t="shared" si="4"/>
        <v>4335700</v>
      </c>
      <c r="J65" s="363">
        <f t="shared" si="4"/>
        <v>10456500</v>
      </c>
      <c r="K65" s="363">
        <f t="shared" si="4"/>
        <v>0</v>
      </c>
      <c r="L65" s="363">
        <f t="shared" si="4"/>
        <v>0</v>
      </c>
      <c r="M65" s="363">
        <f t="shared" si="4"/>
        <v>976926.4</v>
      </c>
      <c r="N65" s="363">
        <f t="shared" si="4"/>
        <v>0</v>
      </c>
      <c r="O65" s="363">
        <f t="shared" si="4"/>
        <v>2676000</v>
      </c>
      <c r="P65" s="363">
        <f t="shared" si="4"/>
        <v>0</v>
      </c>
      <c r="Q65" s="363">
        <f t="shared" si="4"/>
        <v>2423600</v>
      </c>
      <c r="R65" s="363">
        <f t="shared" si="4"/>
        <v>2265617.25</v>
      </c>
      <c r="S65" s="363">
        <f t="shared" si="4"/>
        <v>8342143.6500000004</v>
      </c>
      <c r="T65" s="365"/>
    </row>
    <row r="66" spans="1:20" s="345" customFormat="1">
      <c r="A66" s="342" t="s">
        <v>164</v>
      </c>
      <c r="B66" s="353" t="s">
        <v>411</v>
      </c>
      <c r="C66" s="353" t="s">
        <v>411</v>
      </c>
      <c r="D66" s="354">
        <v>68925</v>
      </c>
      <c r="E66" s="353" t="s">
        <v>411</v>
      </c>
      <c r="F66" s="354">
        <v>1487600</v>
      </c>
      <c r="G66" s="353" t="s">
        <v>411</v>
      </c>
      <c r="H66" s="353" t="s">
        <v>411</v>
      </c>
      <c r="I66" s="354">
        <v>4697393</v>
      </c>
      <c r="J66" s="354">
        <v>6253918</v>
      </c>
      <c r="K66" s="353" t="s">
        <v>411</v>
      </c>
      <c r="L66" s="353" t="s">
        <v>411</v>
      </c>
      <c r="M66" s="354">
        <v>67035</v>
      </c>
      <c r="N66" s="353" t="s">
        <v>411</v>
      </c>
      <c r="O66" s="354">
        <v>651000</v>
      </c>
      <c r="P66" s="353" t="s">
        <v>411</v>
      </c>
      <c r="Q66" s="353" t="s">
        <v>411</v>
      </c>
      <c r="R66" s="354">
        <v>3512418.01</v>
      </c>
      <c r="S66" s="354">
        <v>4230453.01</v>
      </c>
      <c r="T66" s="355">
        <v>0.6764</v>
      </c>
    </row>
    <row r="67" spans="1:20" s="345" customFormat="1">
      <c r="A67" s="342" t="s">
        <v>165</v>
      </c>
      <c r="B67" s="356" t="s">
        <v>411</v>
      </c>
      <c r="C67" s="356" t="s">
        <v>411</v>
      </c>
      <c r="D67" s="357">
        <v>56400</v>
      </c>
      <c r="E67" s="356" t="s">
        <v>411</v>
      </c>
      <c r="F67" s="356" t="s">
        <v>411</v>
      </c>
      <c r="G67" s="356" t="s">
        <v>411</v>
      </c>
      <c r="H67" s="356" t="s">
        <v>411</v>
      </c>
      <c r="I67" s="356" t="s">
        <v>411</v>
      </c>
      <c r="J67" s="357">
        <v>56400</v>
      </c>
      <c r="K67" s="356" t="s">
        <v>411</v>
      </c>
      <c r="L67" s="356" t="s">
        <v>411</v>
      </c>
      <c r="M67" s="357">
        <v>56312</v>
      </c>
      <c r="N67" s="356" t="s">
        <v>411</v>
      </c>
      <c r="O67" s="356" t="s">
        <v>411</v>
      </c>
      <c r="P67" s="356" t="s">
        <v>411</v>
      </c>
      <c r="Q67" s="356" t="s">
        <v>411</v>
      </c>
      <c r="R67" s="356" t="s">
        <v>411</v>
      </c>
      <c r="S67" s="357">
        <v>56312</v>
      </c>
      <c r="T67" s="358">
        <v>0.99839999999999995</v>
      </c>
    </row>
    <row r="68" spans="1:20" s="345" customFormat="1">
      <c r="A68" s="342" t="s">
        <v>166</v>
      </c>
      <c r="B68" s="353" t="s">
        <v>411</v>
      </c>
      <c r="C68" s="353" t="s">
        <v>411</v>
      </c>
      <c r="D68" s="354">
        <v>66400</v>
      </c>
      <c r="E68" s="353" t="s">
        <v>411</v>
      </c>
      <c r="F68" s="353" t="s">
        <v>411</v>
      </c>
      <c r="G68" s="353" t="s">
        <v>411</v>
      </c>
      <c r="H68" s="353" t="s">
        <v>411</v>
      </c>
      <c r="I68" s="353" t="s">
        <v>411</v>
      </c>
      <c r="J68" s="354">
        <v>66400</v>
      </c>
      <c r="K68" s="353" t="s">
        <v>411</v>
      </c>
      <c r="L68" s="353" t="s">
        <v>411</v>
      </c>
      <c r="M68" s="354">
        <v>65982.95</v>
      </c>
      <c r="N68" s="353" t="s">
        <v>411</v>
      </c>
      <c r="O68" s="353" t="s">
        <v>411</v>
      </c>
      <c r="P68" s="353" t="s">
        <v>411</v>
      </c>
      <c r="Q68" s="353" t="s">
        <v>411</v>
      </c>
      <c r="R68" s="353" t="s">
        <v>411</v>
      </c>
      <c r="S68" s="354">
        <v>65982.95</v>
      </c>
      <c r="T68" s="355">
        <v>0.99370000000000003</v>
      </c>
    </row>
    <row r="69" spans="1:20" s="345" customFormat="1">
      <c r="A69" s="342" t="s">
        <v>354</v>
      </c>
      <c r="B69" s="353" t="s">
        <v>411</v>
      </c>
      <c r="C69" s="353" t="s">
        <v>411</v>
      </c>
      <c r="D69" s="354">
        <v>31400</v>
      </c>
      <c r="E69" s="353" t="s">
        <v>411</v>
      </c>
      <c r="F69" s="353" t="s">
        <v>411</v>
      </c>
      <c r="G69" s="353" t="s">
        <v>411</v>
      </c>
      <c r="H69" s="353" t="s">
        <v>411</v>
      </c>
      <c r="I69" s="353" t="s">
        <v>411</v>
      </c>
      <c r="J69" s="354">
        <v>31400</v>
      </c>
      <c r="K69" s="353" t="s">
        <v>411</v>
      </c>
      <c r="L69" s="353" t="s">
        <v>411</v>
      </c>
      <c r="M69" s="354">
        <v>31248</v>
      </c>
      <c r="N69" s="353" t="s">
        <v>411</v>
      </c>
      <c r="O69" s="353" t="s">
        <v>411</v>
      </c>
      <c r="P69" s="353" t="s">
        <v>411</v>
      </c>
      <c r="Q69" s="353" t="s">
        <v>411</v>
      </c>
      <c r="R69" s="353" t="s">
        <v>411</v>
      </c>
      <c r="S69" s="354">
        <v>31248</v>
      </c>
      <c r="T69" s="355">
        <v>0.99519999999999997</v>
      </c>
    </row>
    <row r="70" spans="1:20" s="345" customFormat="1">
      <c r="A70" s="342" t="s">
        <v>167</v>
      </c>
      <c r="B70" s="356" t="s">
        <v>411</v>
      </c>
      <c r="C70" s="356" t="s">
        <v>411</v>
      </c>
      <c r="D70" s="356" t="s">
        <v>411</v>
      </c>
      <c r="E70" s="356" t="s">
        <v>411</v>
      </c>
      <c r="F70" s="356" t="s">
        <v>411</v>
      </c>
      <c r="G70" s="356" t="s">
        <v>411</v>
      </c>
      <c r="H70" s="356" t="s">
        <v>411</v>
      </c>
      <c r="I70" s="357">
        <v>200000</v>
      </c>
      <c r="J70" s="357">
        <v>200000</v>
      </c>
      <c r="K70" s="356" t="s">
        <v>411</v>
      </c>
      <c r="L70" s="356" t="s">
        <v>411</v>
      </c>
      <c r="M70" s="356" t="s">
        <v>411</v>
      </c>
      <c r="N70" s="356" t="s">
        <v>411</v>
      </c>
      <c r="O70" s="356" t="s">
        <v>411</v>
      </c>
      <c r="P70" s="356" t="s">
        <v>411</v>
      </c>
      <c r="Q70" s="356" t="s">
        <v>411</v>
      </c>
      <c r="R70" s="357">
        <v>199968.4</v>
      </c>
      <c r="S70" s="357">
        <v>199968.4</v>
      </c>
      <c r="T70" s="358">
        <v>0.99980000000000002</v>
      </c>
    </row>
    <row r="71" spans="1:20" s="362" customFormat="1">
      <c r="A71" s="346" t="s">
        <v>353</v>
      </c>
      <c r="B71" s="363">
        <f>SUM(B66:B70)</f>
        <v>0</v>
      </c>
      <c r="C71" s="363">
        <f t="shared" ref="C71:S71" si="5">SUM(C66:C70)</f>
        <v>0</v>
      </c>
      <c r="D71" s="363">
        <f t="shared" si="5"/>
        <v>223125</v>
      </c>
      <c r="E71" s="363">
        <f t="shared" si="5"/>
        <v>0</v>
      </c>
      <c r="F71" s="363">
        <f t="shared" si="5"/>
        <v>1487600</v>
      </c>
      <c r="G71" s="363">
        <f t="shared" si="5"/>
        <v>0</v>
      </c>
      <c r="H71" s="363">
        <f t="shared" si="5"/>
        <v>0</v>
      </c>
      <c r="I71" s="363">
        <f t="shared" si="5"/>
        <v>4897393</v>
      </c>
      <c r="J71" s="363">
        <f t="shared" si="5"/>
        <v>6608118</v>
      </c>
      <c r="K71" s="363">
        <f t="shared" si="5"/>
        <v>0</v>
      </c>
      <c r="L71" s="363">
        <f t="shared" si="5"/>
        <v>0</v>
      </c>
      <c r="M71" s="363">
        <f t="shared" si="5"/>
        <v>220577.95</v>
      </c>
      <c r="N71" s="363">
        <f t="shared" si="5"/>
        <v>0</v>
      </c>
      <c r="O71" s="363">
        <f t="shared" si="5"/>
        <v>651000</v>
      </c>
      <c r="P71" s="363">
        <f t="shared" si="5"/>
        <v>0</v>
      </c>
      <c r="Q71" s="363">
        <f t="shared" si="5"/>
        <v>0</v>
      </c>
      <c r="R71" s="363">
        <f t="shared" si="5"/>
        <v>3712386.4099999997</v>
      </c>
      <c r="S71" s="363">
        <f t="shared" si="5"/>
        <v>4583964.3600000003</v>
      </c>
      <c r="T71" s="365"/>
    </row>
    <row r="72" spans="1:20" s="345" customFormat="1">
      <c r="A72" s="342" t="s">
        <v>168</v>
      </c>
      <c r="B72" s="353" t="s">
        <v>411</v>
      </c>
      <c r="C72" s="353" t="s">
        <v>411</v>
      </c>
      <c r="D72" s="354">
        <v>340000</v>
      </c>
      <c r="E72" s="353" t="s">
        <v>411</v>
      </c>
      <c r="F72" s="353" t="s">
        <v>411</v>
      </c>
      <c r="G72" s="353" t="s">
        <v>411</v>
      </c>
      <c r="H72" s="353" t="s">
        <v>411</v>
      </c>
      <c r="I72" s="354">
        <v>81100</v>
      </c>
      <c r="J72" s="354">
        <v>421100</v>
      </c>
      <c r="K72" s="353" t="s">
        <v>411</v>
      </c>
      <c r="L72" s="353" t="s">
        <v>411</v>
      </c>
      <c r="M72" s="354">
        <v>335899.28</v>
      </c>
      <c r="N72" s="353" t="s">
        <v>411</v>
      </c>
      <c r="O72" s="353" t="s">
        <v>411</v>
      </c>
      <c r="P72" s="353" t="s">
        <v>411</v>
      </c>
      <c r="Q72" s="353" t="s">
        <v>411</v>
      </c>
      <c r="R72" s="354">
        <v>81100</v>
      </c>
      <c r="S72" s="354">
        <v>416999.28</v>
      </c>
      <c r="T72" s="355">
        <v>0.99029999999999996</v>
      </c>
    </row>
    <row r="73" spans="1:20" s="345" customFormat="1">
      <c r="A73" s="342" t="s">
        <v>169</v>
      </c>
      <c r="B73" s="356" t="s">
        <v>411</v>
      </c>
      <c r="C73" s="356" t="s">
        <v>411</v>
      </c>
      <c r="D73" s="357">
        <v>260000</v>
      </c>
      <c r="E73" s="356" t="s">
        <v>411</v>
      </c>
      <c r="F73" s="357">
        <v>993000</v>
      </c>
      <c r="G73" s="356" t="s">
        <v>411</v>
      </c>
      <c r="H73" s="356" t="s">
        <v>411</v>
      </c>
      <c r="I73" s="357">
        <v>2415800</v>
      </c>
      <c r="J73" s="357">
        <v>3668800</v>
      </c>
      <c r="K73" s="356" t="s">
        <v>411</v>
      </c>
      <c r="L73" s="356" t="s">
        <v>411</v>
      </c>
      <c r="M73" s="357">
        <v>257662</v>
      </c>
      <c r="N73" s="356" t="s">
        <v>411</v>
      </c>
      <c r="O73" s="357">
        <v>989900</v>
      </c>
      <c r="P73" s="356" t="s">
        <v>411</v>
      </c>
      <c r="Q73" s="356" t="s">
        <v>411</v>
      </c>
      <c r="R73" s="357">
        <v>2198375</v>
      </c>
      <c r="S73" s="357">
        <v>3445937</v>
      </c>
      <c r="T73" s="358">
        <v>0.93930000000000002</v>
      </c>
    </row>
    <row r="74" spans="1:20" s="345" customFormat="1">
      <c r="A74" s="342" t="s">
        <v>170</v>
      </c>
      <c r="B74" s="353" t="s">
        <v>411</v>
      </c>
      <c r="C74" s="353" t="s">
        <v>411</v>
      </c>
      <c r="D74" s="353" t="s">
        <v>411</v>
      </c>
      <c r="E74" s="353" t="s">
        <v>411</v>
      </c>
      <c r="F74" s="354">
        <v>819500</v>
      </c>
      <c r="G74" s="353" t="s">
        <v>411</v>
      </c>
      <c r="H74" s="353" t="s">
        <v>411</v>
      </c>
      <c r="I74" s="354">
        <v>915000</v>
      </c>
      <c r="J74" s="354">
        <v>1734500</v>
      </c>
      <c r="K74" s="353" t="s">
        <v>411</v>
      </c>
      <c r="L74" s="353" t="s">
        <v>411</v>
      </c>
      <c r="M74" s="353" t="s">
        <v>411</v>
      </c>
      <c r="N74" s="353" t="s">
        <v>411</v>
      </c>
      <c r="O74" s="354">
        <v>775000</v>
      </c>
      <c r="P74" s="353" t="s">
        <v>411</v>
      </c>
      <c r="Q74" s="353" t="s">
        <v>411</v>
      </c>
      <c r="R74" s="354">
        <v>914999.14</v>
      </c>
      <c r="S74" s="354">
        <v>1689999.14</v>
      </c>
      <c r="T74" s="355">
        <v>0.97430000000000005</v>
      </c>
    </row>
    <row r="75" spans="1:20" s="362" customFormat="1">
      <c r="A75" s="346" t="s">
        <v>441</v>
      </c>
      <c r="B75" s="359">
        <f>SUM(B72:B74)</f>
        <v>0</v>
      </c>
      <c r="C75" s="359">
        <f t="shared" ref="C75:S75" si="6">SUM(C72:C74)</f>
        <v>0</v>
      </c>
      <c r="D75" s="359">
        <f t="shared" si="6"/>
        <v>600000</v>
      </c>
      <c r="E75" s="359">
        <f t="shared" si="6"/>
        <v>0</v>
      </c>
      <c r="F75" s="359">
        <f t="shared" si="6"/>
        <v>1812500</v>
      </c>
      <c r="G75" s="359">
        <f t="shared" si="6"/>
        <v>0</v>
      </c>
      <c r="H75" s="359">
        <f t="shared" si="6"/>
        <v>0</v>
      </c>
      <c r="I75" s="359">
        <f t="shared" si="6"/>
        <v>3411900</v>
      </c>
      <c r="J75" s="359">
        <f t="shared" si="6"/>
        <v>5824400</v>
      </c>
      <c r="K75" s="359">
        <f t="shared" si="6"/>
        <v>0</v>
      </c>
      <c r="L75" s="359">
        <f t="shared" si="6"/>
        <v>0</v>
      </c>
      <c r="M75" s="359">
        <f t="shared" si="6"/>
        <v>593561.28</v>
      </c>
      <c r="N75" s="359">
        <f t="shared" si="6"/>
        <v>0</v>
      </c>
      <c r="O75" s="359">
        <f t="shared" si="6"/>
        <v>1764900</v>
      </c>
      <c r="P75" s="359">
        <f t="shared" si="6"/>
        <v>0</v>
      </c>
      <c r="Q75" s="359">
        <f t="shared" si="6"/>
        <v>0</v>
      </c>
      <c r="R75" s="359">
        <f t="shared" si="6"/>
        <v>3194474.14</v>
      </c>
      <c r="S75" s="359">
        <f t="shared" si="6"/>
        <v>5552935.4199999999</v>
      </c>
      <c r="T75" s="361"/>
    </row>
    <row r="76" spans="1:20" s="345" customFormat="1">
      <c r="A76" s="342" t="s">
        <v>171</v>
      </c>
      <c r="B76" s="356" t="s">
        <v>411</v>
      </c>
      <c r="C76" s="356" t="s">
        <v>411</v>
      </c>
      <c r="D76" s="356" t="s">
        <v>411</v>
      </c>
      <c r="E76" s="356" t="s">
        <v>411</v>
      </c>
      <c r="F76" s="356" t="s">
        <v>411</v>
      </c>
      <c r="G76" s="356" t="s">
        <v>411</v>
      </c>
      <c r="H76" s="356" t="s">
        <v>411</v>
      </c>
      <c r="I76" s="357">
        <v>13100</v>
      </c>
      <c r="J76" s="357">
        <v>13100</v>
      </c>
      <c r="K76" s="356" t="s">
        <v>411</v>
      </c>
      <c r="L76" s="356" t="s">
        <v>411</v>
      </c>
      <c r="M76" s="356" t="s">
        <v>411</v>
      </c>
      <c r="N76" s="356" t="s">
        <v>411</v>
      </c>
      <c r="O76" s="356" t="s">
        <v>411</v>
      </c>
      <c r="P76" s="356" t="s">
        <v>411</v>
      </c>
      <c r="Q76" s="356" t="s">
        <v>411</v>
      </c>
      <c r="R76" s="357">
        <v>12140</v>
      </c>
      <c r="S76" s="357">
        <v>12140</v>
      </c>
      <c r="T76" s="358">
        <v>0.92669999999999997</v>
      </c>
    </row>
    <row r="77" spans="1:20" s="345" customFormat="1">
      <c r="A77" s="342" t="s">
        <v>173</v>
      </c>
      <c r="B77" s="353" t="s">
        <v>411</v>
      </c>
      <c r="C77" s="353" t="s">
        <v>411</v>
      </c>
      <c r="D77" s="353" t="s">
        <v>411</v>
      </c>
      <c r="E77" s="353" t="s">
        <v>411</v>
      </c>
      <c r="F77" s="353" t="s">
        <v>411</v>
      </c>
      <c r="G77" s="353" t="s">
        <v>411</v>
      </c>
      <c r="H77" s="353" t="s">
        <v>411</v>
      </c>
      <c r="I77" s="354">
        <v>420000</v>
      </c>
      <c r="J77" s="354">
        <v>420000</v>
      </c>
      <c r="K77" s="353" t="s">
        <v>411</v>
      </c>
      <c r="L77" s="353" t="s">
        <v>411</v>
      </c>
      <c r="M77" s="353" t="s">
        <v>411</v>
      </c>
      <c r="N77" s="353" t="s">
        <v>411</v>
      </c>
      <c r="O77" s="353" t="s">
        <v>411</v>
      </c>
      <c r="P77" s="353" t="s">
        <v>411</v>
      </c>
      <c r="Q77" s="353" t="s">
        <v>411</v>
      </c>
      <c r="R77" s="354">
        <v>418331.9</v>
      </c>
      <c r="S77" s="354">
        <v>418331.9</v>
      </c>
      <c r="T77" s="355">
        <v>0.996</v>
      </c>
    </row>
    <row r="78" spans="1:20" s="362" customFormat="1">
      <c r="A78" s="346" t="s">
        <v>443</v>
      </c>
      <c r="B78" s="359">
        <f>SUM(B76:B77)</f>
        <v>0</v>
      </c>
      <c r="C78" s="359">
        <f t="shared" ref="C78:S78" si="7">SUM(C76:C77)</f>
        <v>0</v>
      </c>
      <c r="D78" s="359">
        <f t="shared" si="7"/>
        <v>0</v>
      </c>
      <c r="E78" s="359">
        <f t="shared" si="7"/>
        <v>0</v>
      </c>
      <c r="F78" s="359">
        <f t="shared" si="7"/>
        <v>0</v>
      </c>
      <c r="G78" s="359">
        <f t="shared" si="7"/>
        <v>0</v>
      </c>
      <c r="H78" s="359">
        <f t="shared" si="7"/>
        <v>0</v>
      </c>
      <c r="I78" s="359">
        <f t="shared" si="7"/>
        <v>433100</v>
      </c>
      <c r="J78" s="359">
        <f t="shared" si="7"/>
        <v>433100</v>
      </c>
      <c r="K78" s="359">
        <f t="shared" si="7"/>
        <v>0</v>
      </c>
      <c r="L78" s="359">
        <f t="shared" si="7"/>
        <v>0</v>
      </c>
      <c r="M78" s="359">
        <f t="shared" si="7"/>
        <v>0</v>
      </c>
      <c r="N78" s="359">
        <f t="shared" si="7"/>
        <v>0</v>
      </c>
      <c r="O78" s="359">
        <f t="shared" si="7"/>
        <v>0</v>
      </c>
      <c r="P78" s="359">
        <f t="shared" si="7"/>
        <v>0</v>
      </c>
      <c r="Q78" s="359">
        <f t="shared" si="7"/>
        <v>0</v>
      </c>
      <c r="R78" s="359">
        <f t="shared" si="7"/>
        <v>430471.9</v>
      </c>
      <c r="S78" s="359">
        <f t="shared" si="7"/>
        <v>430471.9</v>
      </c>
      <c r="T78" s="361"/>
    </row>
    <row r="79" spans="1:20" s="345" customFormat="1">
      <c r="A79" s="342" t="s">
        <v>174</v>
      </c>
      <c r="B79" s="356" t="s">
        <v>411</v>
      </c>
      <c r="C79" s="356" t="s">
        <v>411</v>
      </c>
      <c r="D79" s="356" t="s">
        <v>411</v>
      </c>
      <c r="E79" s="356" t="s">
        <v>411</v>
      </c>
      <c r="F79" s="356" t="s">
        <v>411</v>
      </c>
      <c r="G79" s="356" t="s">
        <v>411</v>
      </c>
      <c r="H79" s="356" t="s">
        <v>411</v>
      </c>
      <c r="I79" s="357">
        <v>15000</v>
      </c>
      <c r="J79" s="357">
        <v>15000</v>
      </c>
      <c r="K79" s="356" t="s">
        <v>411</v>
      </c>
      <c r="L79" s="356" t="s">
        <v>411</v>
      </c>
      <c r="M79" s="356" t="s">
        <v>411</v>
      </c>
      <c r="N79" s="356" t="s">
        <v>411</v>
      </c>
      <c r="O79" s="356" t="s">
        <v>411</v>
      </c>
      <c r="P79" s="356" t="s">
        <v>411</v>
      </c>
      <c r="Q79" s="356" t="s">
        <v>411</v>
      </c>
      <c r="R79" s="357">
        <v>15000</v>
      </c>
      <c r="S79" s="357">
        <v>15000</v>
      </c>
      <c r="T79" s="358">
        <v>1</v>
      </c>
    </row>
    <row r="80" spans="1:20" s="345" customFormat="1">
      <c r="A80" s="342" t="s">
        <v>175</v>
      </c>
      <c r="B80" s="353" t="s">
        <v>411</v>
      </c>
      <c r="C80" s="353" t="s">
        <v>411</v>
      </c>
      <c r="D80" s="354">
        <v>102000</v>
      </c>
      <c r="E80" s="353" t="s">
        <v>411</v>
      </c>
      <c r="F80" s="353" t="s">
        <v>411</v>
      </c>
      <c r="G80" s="353" t="s">
        <v>411</v>
      </c>
      <c r="H80" s="353" t="s">
        <v>411</v>
      </c>
      <c r="I80" s="354">
        <v>915700</v>
      </c>
      <c r="J80" s="354">
        <v>1017700</v>
      </c>
      <c r="K80" s="353" t="s">
        <v>411</v>
      </c>
      <c r="L80" s="353" t="s">
        <v>411</v>
      </c>
      <c r="M80" s="354">
        <v>102000</v>
      </c>
      <c r="N80" s="353" t="s">
        <v>411</v>
      </c>
      <c r="O80" s="353" t="s">
        <v>411</v>
      </c>
      <c r="P80" s="353" t="s">
        <v>411</v>
      </c>
      <c r="Q80" s="353" t="s">
        <v>411</v>
      </c>
      <c r="R80" s="354">
        <v>854844</v>
      </c>
      <c r="S80" s="354">
        <v>956844</v>
      </c>
      <c r="T80" s="355">
        <v>0.94020000000000004</v>
      </c>
    </row>
    <row r="81" spans="1:20" s="345" customFormat="1">
      <c r="A81" s="342" t="s">
        <v>176</v>
      </c>
      <c r="B81" s="356" t="s">
        <v>411</v>
      </c>
      <c r="C81" s="356" t="s">
        <v>411</v>
      </c>
      <c r="D81" s="356" t="s">
        <v>411</v>
      </c>
      <c r="E81" s="356" t="s">
        <v>411</v>
      </c>
      <c r="F81" s="356" t="s">
        <v>411</v>
      </c>
      <c r="G81" s="356" t="s">
        <v>411</v>
      </c>
      <c r="H81" s="356" t="s">
        <v>411</v>
      </c>
      <c r="I81" s="357">
        <v>78000</v>
      </c>
      <c r="J81" s="357">
        <v>78000</v>
      </c>
      <c r="K81" s="356" t="s">
        <v>411</v>
      </c>
      <c r="L81" s="356" t="s">
        <v>411</v>
      </c>
      <c r="M81" s="356" t="s">
        <v>411</v>
      </c>
      <c r="N81" s="356" t="s">
        <v>411</v>
      </c>
      <c r="O81" s="356" t="s">
        <v>411</v>
      </c>
      <c r="P81" s="356" t="s">
        <v>411</v>
      </c>
      <c r="Q81" s="356" t="s">
        <v>411</v>
      </c>
      <c r="R81" s="357">
        <v>30000</v>
      </c>
      <c r="S81" s="357">
        <v>30000</v>
      </c>
      <c r="T81" s="358">
        <v>0.3846</v>
      </c>
    </row>
    <row r="82" spans="1:20" s="362" customFormat="1">
      <c r="A82" s="346" t="s">
        <v>442</v>
      </c>
      <c r="B82" s="363">
        <f>SUM(B79:B81)</f>
        <v>0</v>
      </c>
      <c r="C82" s="363">
        <f t="shared" ref="C82:S82" si="8">SUM(C79:C81)</f>
        <v>0</v>
      </c>
      <c r="D82" s="363">
        <f t="shared" si="8"/>
        <v>102000</v>
      </c>
      <c r="E82" s="363">
        <f t="shared" si="8"/>
        <v>0</v>
      </c>
      <c r="F82" s="363">
        <f t="shared" si="8"/>
        <v>0</v>
      </c>
      <c r="G82" s="363">
        <f t="shared" si="8"/>
        <v>0</v>
      </c>
      <c r="H82" s="363">
        <f t="shared" si="8"/>
        <v>0</v>
      </c>
      <c r="I82" s="363">
        <f t="shared" si="8"/>
        <v>1008700</v>
      </c>
      <c r="J82" s="363">
        <f t="shared" si="8"/>
        <v>1110700</v>
      </c>
      <c r="K82" s="363">
        <f t="shared" si="8"/>
        <v>0</v>
      </c>
      <c r="L82" s="363">
        <f t="shared" si="8"/>
        <v>0</v>
      </c>
      <c r="M82" s="363">
        <f t="shared" si="8"/>
        <v>102000</v>
      </c>
      <c r="N82" s="363">
        <f t="shared" si="8"/>
        <v>0</v>
      </c>
      <c r="O82" s="363">
        <f t="shared" si="8"/>
        <v>0</v>
      </c>
      <c r="P82" s="363">
        <f t="shared" si="8"/>
        <v>0</v>
      </c>
      <c r="Q82" s="363">
        <f t="shared" si="8"/>
        <v>0</v>
      </c>
      <c r="R82" s="363">
        <f t="shared" si="8"/>
        <v>899844</v>
      </c>
      <c r="S82" s="363">
        <f t="shared" si="8"/>
        <v>1001844</v>
      </c>
      <c r="T82" s="365"/>
    </row>
    <row r="83" spans="1:20" s="345" customFormat="1">
      <c r="A83" s="342" t="s">
        <v>177</v>
      </c>
      <c r="B83" s="353" t="s">
        <v>411</v>
      </c>
      <c r="C83" s="353" t="s">
        <v>411</v>
      </c>
      <c r="D83" s="354">
        <v>129800</v>
      </c>
      <c r="E83" s="353" t="s">
        <v>411</v>
      </c>
      <c r="F83" s="353" t="s">
        <v>411</v>
      </c>
      <c r="G83" s="353" t="s">
        <v>411</v>
      </c>
      <c r="H83" s="353" t="s">
        <v>411</v>
      </c>
      <c r="I83" s="354">
        <v>7200</v>
      </c>
      <c r="J83" s="354">
        <v>137000</v>
      </c>
      <c r="K83" s="353" t="s">
        <v>411</v>
      </c>
      <c r="L83" s="353" t="s">
        <v>411</v>
      </c>
      <c r="M83" s="354">
        <v>116887.8</v>
      </c>
      <c r="N83" s="353" t="s">
        <v>411</v>
      </c>
      <c r="O83" s="353" t="s">
        <v>411</v>
      </c>
      <c r="P83" s="353" t="s">
        <v>411</v>
      </c>
      <c r="Q83" s="353" t="s">
        <v>411</v>
      </c>
      <c r="R83" s="353" t="s">
        <v>411</v>
      </c>
      <c r="S83" s="354">
        <v>116887.8</v>
      </c>
      <c r="T83" s="355">
        <v>0.85319999999999996</v>
      </c>
    </row>
    <row r="84" spans="1:20" s="345" customFormat="1">
      <c r="A84" s="342" t="s">
        <v>194</v>
      </c>
      <c r="B84" s="356" t="s">
        <v>411</v>
      </c>
      <c r="C84" s="356" t="s">
        <v>411</v>
      </c>
      <c r="D84" s="356" t="s">
        <v>411</v>
      </c>
      <c r="E84" s="356" t="s">
        <v>411</v>
      </c>
      <c r="F84" s="356" t="s">
        <v>411</v>
      </c>
      <c r="G84" s="356" t="s">
        <v>411</v>
      </c>
      <c r="H84" s="356" t="s">
        <v>411</v>
      </c>
      <c r="I84" s="357">
        <v>18700</v>
      </c>
      <c r="J84" s="357">
        <v>18700</v>
      </c>
      <c r="K84" s="356" t="s">
        <v>411</v>
      </c>
      <c r="L84" s="356" t="s">
        <v>411</v>
      </c>
      <c r="M84" s="356" t="s">
        <v>411</v>
      </c>
      <c r="N84" s="356" t="s">
        <v>411</v>
      </c>
      <c r="O84" s="356" t="s">
        <v>411</v>
      </c>
      <c r="P84" s="356" t="s">
        <v>411</v>
      </c>
      <c r="Q84" s="356" t="s">
        <v>411</v>
      </c>
      <c r="R84" s="356" t="s">
        <v>411</v>
      </c>
      <c r="S84" s="356" t="s">
        <v>411</v>
      </c>
      <c r="T84" s="356" t="s">
        <v>411</v>
      </c>
    </row>
    <row r="85" spans="1:20" s="345" customFormat="1">
      <c r="A85" s="342" t="s">
        <v>178</v>
      </c>
      <c r="B85" s="353" t="s">
        <v>411</v>
      </c>
      <c r="C85" s="353" t="s">
        <v>411</v>
      </c>
      <c r="D85" s="354">
        <v>265200</v>
      </c>
      <c r="E85" s="353" t="s">
        <v>411</v>
      </c>
      <c r="F85" s="353" t="s">
        <v>411</v>
      </c>
      <c r="G85" s="353" t="s">
        <v>411</v>
      </c>
      <c r="H85" s="353" t="s">
        <v>411</v>
      </c>
      <c r="I85" s="354">
        <v>10800</v>
      </c>
      <c r="J85" s="354">
        <v>276000</v>
      </c>
      <c r="K85" s="353" t="s">
        <v>411</v>
      </c>
      <c r="L85" s="353" t="s">
        <v>411</v>
      </c>
      <c r="M85" s="354">
        <v>226489.4</v>
      </c>
      <c r="N85" s="353" t="s">
        <v>411</v>
      </c>
      <c r="O85" s="353" t="s">
        <v>411</v>
      </c>
      <c r="P85" s="353" t="s">
        <v>411</v>
      </c>
      <c r="Q85" s="353" t="s">
        <v>411</v>
      </c>
      <c r="R85" s="353" t="s">
        <v>411</v>
      </c>
      <c r="S85" s="354">
        <v>226489.4</v>
      </c>
      <c r="T85" s="355">
        <v>0.8206</v>
      </c>
    </row>
    <row r="86" spans="1:20" s="345" customFormat="1">
      <c r="A86" s="342" t="s">
        <v>179</v>
      </c>
      <c r="B86" s="356" t="s">
        <v>411</v>
      </c>
      <c r="C86" s="356" t="s">
        <v>411</v>
      </c>
      <c r="D86" s="357">
        <v>214600</v>
      </c>
      <c r="E86" s="356" t="s">
        <v>411</v>
      </c>
      <c r="F86" s="356" t="s">
        <v>411</v>
      </c>
      <c r="G86" s="356" t="s">
        <v>411</v>
      </c>
      <c r="H86" s="356" t="s">
        <v>411</v>
      </c>
      <c r="I86" s="357">
        <v>16200</v>
      </c>
      <c r="J86" s="357">
        <v>230800</v>
      </c>
      <c r="K86" s="356" t="s">
        <v>411</v>
      </c>
      <c r="L86" s="356" t="s">
        <v>411</v>
      </c>
      <c r="M86" s="357">
        <v>177101.6</v>
      </c>
      <c r="N86" s="356" t="s">
        <v>411</v>
      </c>
      <c r="O86" s="356" t="s">
        <v>411</v>
      </c>
      <c r="P86" s="356" t="s">
        <v>411</v>
      </c>
      <c r="Q86" s="356" t="s">
        <v>411</v>
      </c>
      <c r="R86" s="356" t="s">
        <v>411</v>
      </c>
      <c r="S86" s="357">
        <v>177101.6</v>
      </c>
      <c r="T86" s="358">
        <v>0.76729999999999998</v>
      </c>
    </row>
    <row r="87" spans="1:20" s="345" customFormat="1">
      <c r="A87" s="342" t="s">
        <v>180</v>
      </c>
      <c r="B87" s="353" t="s">
        <v>411</v>
      </c>
      <c r="C87" s="353" t="s">
        <v>411</v>
      </c>
      <c r="D87" s="354">
        <v>82700</v>
      </c>
      <c r="E87" s="353" t="s">
        <v>411</v>
      </c>
      <c r="F87" s="353" t="s">
        <v>411</v>
      </c>
      <c r="G87" s="353" t="s">
        <v>411</v>
      </c>
      <c r="H87" s="353" t="s">
        <v>411</v>
      </c>
      <c r="I87" s="354">
        <v>12600</v>
      </c>
      <c r="J87" s="354">
        <v>95300</v>
      </c>
      <c r="K87" s="353" t="s">
        <v>411</v>
      </c>
      <c r="L87" s="353" t="s">
        <v>411</v>
      </c>
      <c r="M87" s="354">
        <v>69820.5</v>
      </c>
      <c r="N87" s="353" t="s">
        <v>411</v>
      </c>
      <c r="O87" s="353" t="s">
        <v>411</v>
      </c>
      <c r="P87" s="353" t="s">
        <v>411</v>
      </c>
      <c r="Q87" s="353" t="s">
        <v>411</v>
      </c>
      <c r="R87" s="353" t="s">
        <v>411</v>
      </c>
      <c r="S87" s="354">
        <v>69820.5</v>
      </c>
      <c r="T87" s="355">
        <v>0.73260000000000003</v>
      </c>
    </row>
    <row r="88" spans="1:20" s="345" customFormat="1">
      <c r="A88" s="342" t="s">
        <v>181</v>
      </c>
      <c r="B88" s="353" t="s">
        <v>411</v>
      </c>
      <c r="C88" s="353" t="s">
        <v>411</v>
      </c>
      <c r="D88" s="354">
        <v>19600</v>
      </c>
      <c r="E88" s="353" t="s">
        <v>411</v>
      </c>
      <c r="F88" s="353" t="s">
        <v>411</v>
      </c>
      <c r="G88" s="353" t="s">
        <v>411</v>
      </c>
      <c r="H88" s="353" t="s">
        <v>411</v>
      </c>
      <c r="I88" s="354">
        <v>5400</v>
      </c>
      <c r="J88" s="354">
        <v>25000</v>
      </c>
      <c r="K88" s="353" t="s">
        <v>411</v>
      </c>
      <c r="L88" s="353" t="s">
        <v>411</v>
      </c>
      <c r="M88" s="354">
        <v>19200</v>
      </c>
      <c r="N88" s="353" t="s">
        <v>411</v>
      </c>
      <c r="O88" s="353" t="s">
        <v>411</v>
      </c>
      <c r="P88" s="353" t="s">
        <v>411</v>
      </c>
      <c r="Q88" s="353" t="s">
        <v>411</v>
      </c>
      <c r="R88" s="353" t="s">
        <v>411</v>
      </c>
      <c r="S88" s="354">
        <v>19200</v>
      </c>
      <c r="T88" s="355">
        <v>0.76800000000000002</v>
      </c>
    </row>
    <row r="89" spans="1:20" s="345" customFormat="1">
      <c r="A89" s="342" t="s">
        <v>182</v>
      </c>
      <c r="B89" s="356" t="s">
        <v>411</v>
      </c>
      <c r="C89" s="356" t="s">
        <v>411</v>
      </c>
      <c r="D89" s="357">
        <v>193600</v>
      </c>
      <c r="E89" s="356" t="s">
        <v>411</v>
      </c>
      <c r="F89" s="356" t="s">
        <v>411</v>
      </c>
      <c r="G89" s="356" t="s">
        <v>411</v>
      </c>
      <c r="H89" s="356" t="s">
        <v>411</v>
      </c>
      <c r="I89" s="357">
        <v>5400</v>
      </c>
      <c r="J89" s="357">
        <v>199000</v>
      </c>
      <c r="K89" s="356" t="s">
        <v>411</v>
      </c>
      <c r="L89" s="356" t="s">
        <v>411</v>
      </c>
      <c r="M89" s="357">
        <v>189595</v>
      </c>
      <c r="N89" s="356" t="s">
        <v>411</v>
      </c>
      <c r="O89" s="356" t="s">
        <v>411</v>
      </c>
      <c r="P89" s="356" t="s">
        <v>411</v>
      </c>
      <c r="Q89" s="356" t="s">
        <v>411</v>
      </c>
      <c r="R89" s="356" t="s">
        <v>411</v>
      </c>
      <c r="S89" s="357">
        <v>189595</v>
      </c>
      <c r="T89" s="358">
        <v>0.95269999999999999</v>
      </c>
    </row>
    <row r="90" spans="1:20" s="345" customFormat="1">
      <c r="A90" s="342" t="s">
        <v>195</v>
      </c>
      <c r="B90" s="353" t="s">
        <v>411</v>
      </c>
      <c r="C90" s="353" t="s">
        <v>411</v>
      </c>
      <c r="D90" s="354">
        <v>244600</v>
      </c>
      <c r="E90" s="353" t="s">
        <v>411</v>
      </c>
      <c r="F90" s="353" t="s">
        <v>411</v>
      </c>
      <c r="G90" s="353" t="s">
        <v>411</v>
      </c>
      <c r="H90" s="353" t="s">
        <v>411</v>
      </c>
      <c r="I90" s="354">
        <v>5400</v>
      </c>
      <c r="J90" s="354">
        <v>250000</v>
      </c>
      <c r="K90" s="353" t="s">
        <v>411</v>
      </c>
      <c r="L90" s="353" t="s">
        <v>411</v>
      </c>
      <c r="M90" s="354">
        <v>244599.95</v>
      </c>
      <c r="N90" s="353" t="s">
        <v>411</v>
      </c>
      <c r="O90" s="353" t="s">
        <v>411</v>
      </c>
      <c r="P90" s="353" t="s">
        <v>411</v>
      </c>
      <c r="Q90" s="353" t="s">
        <v>411</v>
      </c>
      <c r="R90" s="353" t="s">
        <v>411</v>
      </c>
      <c r="S90" s="354">
        <v>244599.95</v>
      </c>
      <c r="T90" s="355">
        <v>0.97840000000000005</v>
      </c>
    </row>
    <row r="91" spans="1:20" s="345" customFormat="1">
      <c r="A91" s="342" t="s">
        <v>183</v>
      </c>
      <c r="B91" s="356" t="s">
        <v>411</v>
      </c>
      <c r="C91" s="356" t="s">
        <v>411</v>
      </c>
      <c r="D91" s="357">
        <v>30000</v>
      </c>
      <c r="E91" s="356" t="s">
        <v>411</v>
      </c>
      <c r="F91" s="356" t="s">
        <v>411</v>
      </c>
      <c r="G91" s="356" t="s">
        <v>411</v>
      </c>
      <c r="H91" s="356" t="s">
        <v>411</v>
      </c>
      <c r="I91" s="357">
        <v>10900</v>
      </c>
      <c r="J91" s="357">
        <v>40900</v>
      </c>
      <c r="K91" s="356" t="s">
        <v>411</v>
      </c>
      <c r="L91" s="356" t="s">
        <v>411</v>
      </c>
      <c r="M91" s="357">
        <v>29926.83</v>
      </c>
      <c r="N91" s="356" t="s">
        <v>411</v>
      </c>
      <c r="O91" s="356" t="s">
        <v>411</v>
      </c>
      <c r="P91" s="356" t="s">
        <v>411</v>
      </c>
      <c r="Q91" s="356" t="s">
        <v>411</v>
      </c>
      <c r="R91" s="356" t="s">
        <v>411</v>
      </c>
      <c r="S91" s="357">
        <v>29926.83</v>
      </c>
      <c r="T91" s="358">
        <v>0.73170000000000002</v>
      </c>
    </row>
    <row r="92" spans="1:20" s="345" customFormat="1">
      <c r="A92" s="342" t="s">
        <v>266</v>
      </c>
      <c r="B92" s="353" t="s">
        <v>411</v>
      </c>
      <c r="C92" s="353" t="s">
        <v>411</v>
      </c>
      <c r="D92" s="354">
        <v>514900</v>
      </c>
      <c r="E92" s="353" t="s">
        <v>411</v>
      </c>
      <c r="F92" s="353" t="s">
        <v>411</v>
      </c>
      <c r="G92" s="353" t="s">
        <v>411</v>
      </c>
      <c r="H92" s="353" t="s">
        <v>411</v>
      </c>
      <c r="I92" s="354">
        <v>106100</v>
      </c>
      <c r="J92" s="354">
        <v>621000</v>
      </c>
      <c r="K92" s="353" t="s">
        <v>411</v>
      </c>
      <c r="L92" s="353" t="s">
        <v>411</v>
      </c>
      <c r="M92" s="354">
        <v>513702</v>
      </c>
      <c r="N92" s="353" t="s">
        <v>411</v>
      </c>
      <c r="O92" s="353" t="s">
        <v>411</v>
      </c>
      <c r="P92" s="353" t="s">
        <v>411</v>
      </c>
      <c r="Q92" s="353" t="s">
        <v>411</v>
      </c>
      <c r="R92" s="353" t="s">
        <v>411</v>
      </c>
      <c r="S92" s="354">
        <v>513702</v>
      </c>
      <c r="T92" s="355">
        <v>0.82720000000000005</v>
      </c>
    </row>
    <row r="93" spans="1:20" s="345" customFormat="1">
      <c r="A93" s="342" t="s">
        <v>184</v>
      </c>
      <c r="B93" s="356" t="s">
        <v>411</v>
      </c>
      <c r="C93" s="356" t="s">
        <v>411</v>
      </c>
      <c r="D93" s="357">
        <v>54600</v>
      </c>
      <c r="E93" s="356" t="s">
        <v>411</v>
      </c>
      <c r="F93" s="356" t="s">
        <v>411</v>
      </c>
      <c r="G93" s="356" t="s">
        <v>411</v>
      </c>
      <c r="H93" s="356" t="s">
        <v>411</v>
      </c>
      <c r="I93" s="357">
        <v>5400</v>
      </c>
      <c r="J93" s="357">
        <v>60000</v>
      </c>
      <c r="K93" s="356" t="s">
        <v>411</v>
      </c>
      <c r="L93" s="356" t="s">
        <v>411</v>
      </c>
      <c r="M93" s="357">
        <v>41539</v>
      </c>
      <c r="N93" s="356" t="s">
        <v>411</v>
      </c>
      <c r="O93" s="356" t="s">
        <v>411</v>
      </c>
      <c r="P93" s="356" t="s">
        <v>411</v>
      </c>
      <c r="Q93" s="356" t="s">
        <v>411</v>
      </c>
      <c r="R93" s="356" t="s">
        <v>411</v>
      </c>
      <c r="S93" s="357">
        <v>41539</v>
      </c>
      <c r="T93" s="358">
        <v>0.69230000000000003</v>
      </c>
    </row>
    <row r="94" spans="1:20" s="362" customFormat="1">
      <c r="A94" s="346" t="s">
        <v>444</v>
      </c>
      <c r="B94" s="363">
        <f>SUM(B83:B93)</f>
        <v>0</v>
      </c>
      <c r="C94" s="363">
        <f t="shared" ref="C94:S94" si="9">SUM(C83:C93)</f>
        <v>0</v>
      </c>
      <c r="D94" s="363">
        <f t="shared" si="9"/>
        <v>1749600</v>
      </c>
      <c r="E94" s="363">
        <f t="shared" si="9"/>
        <v>0</v>
      </c>
      <c r="F94" s="363">
        <f t="shared" si="9"/>
        <v>0</v>
      </c>
      <c r="G94" s="363">
        <f t="shared" si="9"/>
        <v>0</v>
      </c>
      <c r="H94" s="363">
        <f t="shared" si="9"/>
        <v>0</v>
      </c>
      <c r="I94" s="363">
        <f t="shared" si="9"/>
        <v>204100</v>
      </c>
      <c r="J94" s="363">
        <f t="shared" si="9"/>
        <v>1953700</v>
      </c>
      <c r="K94" s="363">
        <f t="shared" si="9"/>
        <v>0</v>
      </c>
      <c r="L94" s="363">
        <f t="shared" si="9"/>
        <v>0</v>
      </c>
      <c r="M94" s="363">
        <f t="shared" si="9"/>
        <v>1628862.08</v>
      </c>
      <c r="N94" s="363">
        <f t="shared" si="9"/>
        <v>0</v>
      </c>
      <c r="O94" s="363">
        <f t="shared" si="9"/>
        <v>0</v>
      </c>
      <c r="P94" s="363">
        <f t="shared" si="9"/>
        <v>0</v>
      </c>
      <c r="Q94" s="363">
        <f t="shared" si="9"/>
        <v>0</v>
      </c>
      <c r="R94" s="363">
        <f t="shared" si="9"/>
        <v>0</v>
      </c>
      <c r="S94" s="363">
        <f t="shared" si="9"/>
        <v>1628862.08</v>
      </c>
      <c r="T94" s="365"/>
    </row>
    <row r="95" spans="1:20" s="345" customFormat="1">
      <c r="A95" s="342" t="s">
        <v>185</v>
      </c>
      <c r="B95" s="353" t="s">
        <v>411</v>
      </c>
      <c r="C95" s="353" t="s">
        <v>411</v>
      </c>
      <c r="D95" s="353" t="s">
        <v>411</v>
      </c>
      <c r="E95" s="353" t="s">
        <v>411</v>
      </c>
      <c r="F95" s="353" t="s">
        <v>411</v>
      </c>
      <c r="G95" s="353" t="s">
        <v>411</v>
      </c>
      <c r="H95" s="353" t="s">
        <v>411</v>
      </c>
      <c r="I95" s="353">
        <v>700</v>
      </c>
      <c r="J95" s="353">
        <v>700</v>
      </c>
      <c r="K95" s="353" t="s">
        <v>411</v>
      </c>
      <c r="L95" s="353" t="s">
        <v>411</v>
      </c>
      <c r="M95" s="353" t="s">
        <v>411</v>
      </c>
      <c r="N95" s="353" t="s">
        <v>411</v>
      </c>
      <c r="O95" s="353" t="s">
        <v>411</v>
      </c>
      <c r="P95" s="353" t="s">
        <v>411</v>
      </c>
      <c r="Q95" s="353" t="s">
        <v>411</v>
      </c>
      <c r="R95" s="353" t="s">
        <v>411</v>
      </c>
      <c r="S95" s="353" t="s">
        <v>411</v>
      </c>
      <c r="T95" s="353" t="s">
        <v>411</v>
      </c>
    </row>
    <row r="96" spans="1:20" s="345" customFormat="1">
      <c r="A96" s="342" t="s">
        <v>186</v>
      </c>
      <c r="B96" s="356" t="s">
        <v>411</v>
      </c>
      <c r="C96" s="356" t="s">
        <v>411</v>
      </c>
      <c r="D96" s="356" t="s">
        <v>411</v>
      </c>
      <c r="E96" s="356" t="s">
        <v>411</v>
      </c>
      <c r="F96" s="356" t="s">
        <v>411</v>
      </c>
      <c r="G96" s="356" t="s">
        <v>411</v>
      </c>
      <c r="H96" s="356" t="s">
        <v>411</v>
      </c>
      <c r="I96" s="357">
        <v>415000</v>
      </c>
      <c r="J96" s="357">
        <v>415000</v>
      </c>
      <c r="K96" s="356" t="s">
        <v>411</v>
      </c>
      <c r="L96" s="356" t="s">
        <v>411</v>
      </c>
      <c r="M96" s="356" t="s">
        <v>411</v>
      </c>
      <c r="N96" s="356" t="s">
        <v>411</v>
      </c>
      <c r="O96" s="356" t="s">
        <v>411</v>
      </c>
      <c r="P96" s="356" t="s">
        <v>411</v>
      </c>
      <c r="Q96" s="356" t="s">
        <v>411</v>
      </c>
      <c r="R96" s="357">
        <v>409149</v>
      </c>
      <c r="S96" s="357">
        <v>409149</v>
      </c>
      <c r="T96" s="358">
        <v>0.9859</v>
      </c>
    </row>
    <row r="97" spans="1:20" s="362" customFormat="1">
      <c r="A97" s="346" t="s">
        <v>445</v>
      </c>
      <c r="B97" s="363">
        <f>SUM(B95:B96)</f>
        <v>0</v>
      </c>
      <c r="C97" s="363">
        <f t="shared" ref="C97:S97" si="10">SUM(C95:C96)</f>
        <v>0</v>
      </c>
      <c r="D97" s="363">
        <f t="shared" si="10"/>
        <v>0</v>
      </c>
      <c r="E97" s="363">
        <f t="shared" si="10"/>
        <v>0</v>
      </c>
      <c r="F97" s="363">
        <f t="shared" si="10"/>
        <v>0</v>
      </c>
      <c r="G97" s="363">
        <f t="shared" si="10"/>
        <v>0</v>
      </c>
      <c r="H97" s="363">
        <f t="shared" si="10"/>
        <v>0</v>
      </c>
      <c r="I97" s="363">
        <f t="shared" si="10"/>
        <v>415700</v>
      </c>
      <c r="J97" s="363">
        <f t="shared" si="10"/>
        <v>415700</v>
      </c>
      <c r="K97" s="363">
        <f t="shared" si="10"/>
        <v>0</v>
      </c>
      <c r="L97" s="363">
        <f t="shared" si="10"/>
        <v>0</v>
      </c>
      <c r="M97" s="363">
        <f t="shared" si="10"/>
        <v>0</v>
      </c>
      <c r="N97" s="363">
        <f t="shared" si="10"/>
        <v>0</v>
      </c>
      <c r="O97" s="363">
        <f t="shared" si="10"/>
        <v>0</v>
      </c>
      <c r="P97" s="363">
        <f t="shared" si="10"/>
        <v>0</v>
      </c>
      <c r="Q97" s="363">
        <f t="shared" si="10"/>
        <v>0</v>
      </c>
      <c r="R97" s="363">
        <f t="shared" si="10"/>
        <v>409149</v>
      </c>
      <c r="S97" s="363">
        <f t="shared" si="10"/>
        <v>409149</v>
      </c>
      <c r="T97" s="365"/>
    </row>
    <row r="98" spans="1:20" s="362" customFormat="1">
      <c r="A98" s="346" t="s">
        <v>329</v>
      </c>
      <c r="B98" s="359" t="s">
        <v>411</v>
      </c>
      <c r="C98" s="359" t="s">
        <v>411</v>
      </c>
      <c r="D98" s="360">
        <v>2000000</v>
      </c>
      <c r="E98" s="359" t="s">
        <v>411</v>
      </c>
      <c r="F98" s="359" t="s">
        <v>411</v>
      </c>
      <c r="G98" s="359" t="s">
        <v>411</v>
      </c>
      <c r="H98" s="359" t="s">
        <v>411</v>
      </c>
      <c r="I98" s="360">
        <v>199800</v>
      </c>
      <c r="J98" s="360">
        <v>2199800</v>
      </c>
      <c r="K98" s="359" t="s">
        <v>411</v>
      </c>
      <c r="L98" s="359" t="s">
        <v>411</v>
      </c>
      <c r="M98" s="360">
        <v>1988747.65</v>
      </c>
      <c r="N98" s="359" t="s">
        <v>411</v>
      </c>
      <c r="O98" s="359" t="s">
        <v>411</v>
      </c>
      <c r="P98" s="359" t="s">
        <v>411</v>
      </c>
      <c r="Q98" s="359" t="s">
        <v>411</v>
      </c>
      <c r="R98" s="360">
        <v>199800</v>
      </c>
      <c r="S98" s="360">
        <v>2188547.65</v>
      </c>
      <c r="T98" s="361">
        <v>0.99490000000000001</v>
      </c>
    </row>
    <row r="99" spans="1:20" s="345" customFormat="1">
      <c r="A99" s="342" t="s">
        <v>187</v>
      </c>
      <c r="B99" s="356" t="s">
        <v>411</v>
      </c>
      <c r="C99" s="356" t="s">
        <v>411</v>
      </c>
      <c r="D99" s="357">
        <v>466150</v>
      </c>
      <c r="E99" s="356" t="s">
        <v>411</v>
      </c>
      <c r="F99" s="356" t="s">
        <v>411</v>
      </c>
      <c r="G99" s="356" t="s">
        <v>411</v>
      </c>
      <c r="H99" s="356" t="s">
        <v>411</v>
      </c>
      <c r="I99" s="357">
        <v>41100</v>
      </c>
      <c r="J99" s="357">
        <v>507250</v>
      </c>
      <c r="K99" s="356" t="s">
        <v>411</v>
      </c>
      <c r="L99" s="356" t="s">
        <v>411</v>
      </c>
      <c r="M99" s="357">
        <v>421595</v>
      </c>
      <c r="N99" s="356" t="s">
        <v>411</v>
      </c>
      <c r="O99" s="356" t="s">
        <v>411</v>
      </c>
      <c r="P99" s="356" t="s">
        <v>411</v>
      </c>
      <c r="Q99" s="356" t="s">
        <v>411</v>
      </c>
      <c r="R99" s="357">
        <v>39920</v>
      </c>
      <c r="S99" s="357">
        <v>461515</v>
      </c>
      <c r="T99" s="358">
        <v>0.90980000000000005</v>
      </c>
    </row>
    <row r="100" spans="1:20" s="345" customFormat="1">
      <c r="A100" s="342" t="s">
        <v>267</v>
      </c>
      <c r="B100" s="353" t="s">
        <v>411</v>
      </c>
      <c r="C100" s="353" t="s">
        <v>411</v>
      </c>
      <c r="D100" s="354">
        <v>892050</v>
      </c>
      <c r="E100" s="353" t="s">
        <v>411</v>
      </c>
      <c r="F100" s="353" t="s">
        <v>411</v>
      </c>
      <c r="G100" s="353" t="s">
        <v>411</v>
      </c>
      <c r="H100" s="353" t="s">
        <v>411</v>
      </c>
      <c r="I100" s="353" t="s">
        <v>411</v>
      </c>
      <c r="J100" s="354">
        <v>892050</v>
      </c>
      <c r="K100" s="353" t="s">
        <v>411</v>
      </c>
      <c r="L100" s="353" t="s">
        <v>411</v>
      </c>
      <c r="M100" s="354">
        <v>852866.4</v>
      </c>
      <c r="N100" s="353" t="s">
        <v>411</v>
      </c>
      <c r="O100" s="353" t="s">
        <v>411</v>
      </c>
      <c r="P100" s="353" t="s">
        <v>411</v>
      </c>
      <c r="Q100" s="353" t="s">
        <v>411</v>
      </c>
      <c r="R100" s="353" t="s">
        <v>411</v>
      </c>
      <c r="S100" s="354">
        <v>852866.4</v>
      </c>
      <c r="T100" s="355">
        <v>0.95609999999999995</v>
      </c>
    </row>
    <row r="101" spans="1:20" s="345" customFormat="1">
      <c r="A101" s="342" t="s">
        <v>268</v>
      </c>
      <c r="B101" s="356" t="s">
        <v>411</v>
      </c>
      <c r="C101" s="356" t="s">
        <v>411</v>
      </c>
      <c r="D101" s="357">
        <v>141800</v>
      </c>
      <c r="E101" s="356" t="s">
        <v>411</v>
      </c>
      <c r="F101" s="356" t="s">
        <v>411</v>
      </c>
      <c r="G101" s="356" t="s">
        <v>411</v>
      </c>
      <c r="H101" s="356" t="s">
        <v>411</v>
      </c>
      <c r="I101" s="356" t="s">
        <v>411</v>
      </c>
      <c r="J101" s="357">
        <v>141800</v>
      </c>
      <c r="K101" s="356" t="s">
        <v>411</v>
      </c>
      <c r="L101" s="356" t="s">
        <v>411</v>
      </c>
      <c r="M101" s="357">
        <v>127650</v>
      </c>
      <c r="N101" s="356" t="s">
        <v>411</v>
      </c>
      <c r="O101" s="356" t="s">
        <v>411</v>
      </c>
      <c r="P101" s="356" t="s">
        <v>411</v>
      </c>
      <c r="Q101" s="356" t="s">
        <v>411</v>
      </c>
      <c r="R101" s="356" t="s">
        <v>411</v>
      </c>
      <c r="S101" s="357">
        <v>127650</v>
      </c>
      <c r="T101" s="358">
        <v>0.9002</v>
      </c>
    </row>
    <row r="102" spans="1:20" s="345" customFormat="1">
      <c r="A102" s="342" t="s">
        <v>355</v>
      </c>
      <c r="B102" s="353" t="s">
        <v>411</v>
      </c>
      <c r="C102" s="353" t="s">
        <v>411</v>
      </c>
      <c r="D102" s="354">
        <v>17328</v>
      </c>
      <c r="E102" s="353" t="s">
        <v>411</v>
      </c>
      <c r="F102" s="353" t="s">
        <v>411</v>
      </c>
      <c r="G102" s="353" t="s">
        <v>411</v>
      </c>
      <c r="H102" s="353" t="s">
        <v>411</v>
      </c>
      <c r="I102" s="354">
        <v>182672</v>
      </c>
      <c r="J102" s="354">
        <v>200000</v>
      </c>
      <c r="K102" s="353" t="s">
        <v>411</v>
      </c>
      <c r="L102" s="353" t="s">
        <v>411</v>
      </c>
      <c r="M102" s="354">
        <v>17328</v>
      </c>
      <c r="N102" s="353" t="s">
        <v>411</v>
      </c>
      <c r="O102" s="353" t="s">
        <v>411</v>
      </c>
      <c r="P102" s="353" t="s">
        <v>411</v>
      </c>
      <c r="Q102" s="353" t="s">
        <v>411</v>
      </c>
      <c r="R102" s="354">
        <v>179649.74</v>
      </c>
      <c r="S102" s="354">
        <v>196977.74</v>
      </c>
      <c r="T102" s="355">
        <v>0.9849</v>
      </c>
    </row>
    <row r="103" spans="1:20" s="362" customFormat="1">
      <c r="A103" s="346" t="s">
        <v>446</v>
      </c>
      <c r="B103" s="359">
        <f>SUM(B99:B102)</f>
        <v>0</v>
      </c>
      <c r="C103" s="359">
        <f t="shared" ref="C103:S103" si="11">SUM(C99:C102)</f>
        <v>0</v>
      </c>
      <c r="D103" s="359">
        <f t="shared" si="11"/>
        <v>1517328</v>
      </c>
      <c r="E103" s="359">
        <f t="shared" si="11"/>
        <v>0</v>
      </c>
      <c r="F103" s="359">
        <f t="shared" si="11"/>
        <v>0</v>
      </c>
      <c r="G103" s="359">
        <f t="shared" si="11"/>
        <v>0</v>
      </c>
      <c r="H103" s="359">
        <f t="shared" si="11"/>
        <v>0</v>
      </c>
      <c r="I103" s="359">
        <f t="shared" si="11"/>
        <v>223772</v>
      </c>
      <c r="J103" s="359">
        <f t="shared" si="11"/>
        <v>1741100</v>
      </c>
      <c r="K103" s="359">
        <f t="shared" si="11"/>
        <v>0</v>
      </c>
      <c r="L103" s="359">
        <f t="shared" si="11"/>
        <v>0</v>
      </c>
      <c r="M103" s="359">
        <f t="shared" si="11"/>
        <v>1419439.4</v>
      </c>
      <c r="N103" s="359">
        <f t="shared" si="11"/>
        <v>0</v>
      </c>
      <c r="O103" s="359">
        <f t="shared" si="11"/>
        <v>0</v>
      </c>
      <c r="P103" s="359">
        <f t="shared" si="11"/>
        <v>0</v>
      </c>
      <c r="Q103" s="359">
        <f t="shared" si="11"/>
        <v>0</v>
      </c>
      <c r="R103" s="359">
        <f t="shared" si="11"/>
        <v>219569.74</v>
      </c>
      <c r="S103" s="359">
        <f t="shared" si="11"/>
        <v>1639009.14</v>
      </c>
      <c r="T103" s="361"/>
    </row>
    <row r="104" spans="1:20" s="362" customFormat="1">
      <c r="A104" s="346" t="s">
        <v>447</v>
      </c>
      <c r="B104" s="363" t="s">
        <v>411</v>
      </c>
      <c r="C104" s="363" t="s">
        <v>411</v>
      </c>
      <c r="D104" s="363" t="s">
        <v>411</v>
      </c>
      <c r="E104" s="363" t="s">
        <v>411</v>
      </c>
      <c r="F104" s="363" t="s">
        <v>411</v>
      </c>
      <c r="G104" s="363" t="s">
        <v>411</v>
      </c>
      <c r="H104" s="363" t="s">
        <v>411</v>
      </c>
      <c r="I104" s="364">
        <v>7500</v>
      </c>
      <c r="J104" s="364">
        <v>7500</v>
      </c>
      <c r="K104" s="363" t="s">
        <v>411</v>
      </c>
      <c r="L104" s="363" t="s">
        <v>411</v>
      </c>
      <c r="M104" s="363" t="s">
        <v>411</v>
      </c>
      <c r="N104" s="363" t="s">
        <v>411</v>
      </c>
      <c r="O104" s="363" t="s">
        <v>411</v>
      </c>
      <c r="P104" s="363" t="s">
        <v>411</v>
      </c>
      <c r="Q104" s="363" t="s">
        <v>411</v>
      </c>
      <c r="R104" s="363" t="s">
        <v>411</v>
      </c>
      <c r="S104" s="363" t="s">
        <v>411</v>
      </c>
      <c r="T104" s="363" t="s">
        <v>411</v>
      </c>
    </row>
    <row r="105" spans="1:20" s="362" customFormat="1">
      <c r="A105" s="346" t="s">
        <v>188</v>
      </c>
      <c r="B105" s="359" t="s">
        <v>411</v>
      </c>
      <c r="C105" s="359" t="s">
        <v>411</v>
      </c>
      <c r="D105" s="360">
        <v>83700</v>
      </c>
      <c r="E105" s="359" t="s">
        <v>411</v>
      </c>
      <c r="F105" s="359" t="s">
        <v>411</v>
      </c>
      <c r="G105" s="359" t="s">
        <v>411</v>
      </c>
      <c r="H105" s="359" t="s">
        <v>411</v>
      </c>
      <c r="I105" s="360">
        <v>1900</v>
      </c>
      <c r="J105" s="360">
        <v>85600</v>
      </c>
      <c r="K105" s="359" t="s">
        <v>411</v>
      </c>
      <c r="L105" s="359" t="s">
        <v>411</v>
      </c>
      <c r="M105" s="360">
        <v>74300</v>
      </c>
      <c r="N105" s="359" t="s">
        <v>411</v>
      </c>
      <c r="O105" s="359" t="s">
        <v>411</v>
      </c>
      <c r="P105" s="359" t="s">
        <v>411</v>
      </c>
      <c r="Q105" s="359" t="s">
        <v>411</v>
      </c>
      <c r="R105" s="359" t="s">
        <v>411</v>
      </c>
      <c r="S105" s="360">
        <v>74300</v>
      </c>
      <c r="T105" s="361">
        <v>0.86799999999999999</v>
      </c>
    </row>
    <row r="106" spans="1:20" s="362" customFormat="1">
      <c r="A106" s="346" t="s">
        <v>189</v>
      </c>
      <c r="B106" s="359" t="s">
        <v>411</v>
      </c>
      <c r="C106" s="359" t="s">
        <v>411</v>
      </c>
      <c r="D106" s="359" t="s">
        <v>411</v>
      </c>
      <c r="E106" s="359" t="s">
        <v>411</v>
      </c>
      <c r="F106" s="359" t="s">
        <v>411</v>
      </c>
      <c r="G106" s="359" t="s">
        <v>411</v>
      </c>
      <c r="H106" s="359" t="s">
        <v>411</v>
      </c>
      <c r="I106" s="360">
        <v>209400</v>
      </c>
      <c r="J106" s="360">
        <v>209400</v>
      </c>
      <c r="K106" s="359" t="s">
        <v>411</v>
      </c>
      <c r="L106" s="359" t="s">
        <v>411</v>
      </c>
      <c r="M106" s="359" t="s">
        <v>411</v>
      </c>
      <c r="N106" s="359" t="s">
        <v>411</v>
      </c>
      <c r="O106" s="359" t="s">
        <v>411</v>
      </c>
      <c r="P106" s="359" t="s">
        <v>411</v>
      </c>
      <c r="Q106" s="359" t="s">
        <v>411</v>
      </c>
      <c r="R106" s="360">
        <v>147462.5</v>
      </c>
      <c r="S106" s="360">
        <v>147462.5</v>
      </c>
      <c r="T106" s="361">
        <v>0.70420000000000005</v>
      </c>
    </row>
    <row r="107" spans="1:20" s="362" customFormat="1">
      <c r="A107" s="346" t="s">
        <v>191</v>
      </c>
      <c r="B107" s="364">
        <v>70606478.719999999</v>
      </c>
      <c r="C107" s="364">
        <v>1272347</v>
      </c>
      <c r="D107" s="364">
        <v>8685950.6500000004</v>
      </c>
      <c r="E107" s="364">
        <v>16703545.810000001</v>
      </c>
      <c r="F107" s="364">
        <v>7773650</v>
      </c>
      <c r="G107" s="364">
        <v>115159904.19</v>
      </c>
      <c r="H107" s="364">
        <v>184714787.34999999</v>
      </c>
      <c r="I107" s="364">
        <v>7871864.4199999999</v>
      </c>
      <c r="J107" s="364">
        <v>412788528.13999999</v>
      </c>
      <c r="K107" s="364">
        <v>70606478.719999999</v>
      </c>
      <c r="L107" s="364">
        <v>1272347</v>
      </c>
      <c r="M107" s="364">
        <v>8370536.9800000004</v>
      </c>
      <c r="N107" s="364">
        <v>16604925.109999999</v>
      </c>
      <c r="O107" s="364">
        <v>6946350</v>
      </c>
      <c r="P107" s="364">
        <v>84231900</v>
      </c>
      <c r="Q107" s="364">
        <v>184584512.91999999</v>
      </c>
      <c r="R107" s="364">
        <v>7191781.4199999999</v>
      </c>
      <c r="S107" s="364">
        <v>379808832.14999998</v>
      </c>
      <c r="T107" s="365">
        <v>0.92010000000000003</v>
      </c>
    </row>
    <row r="108" spans="1:20" s="362" customFormat="1">
      <c r="A108" s="346" t="s">
        <v>192</v>
      </c>
      <c r="B108" s="359" t="s">
        <v>411</v>
      </c>
      <c r="C108" s="359" t="s">
        <v>411</v>
      </c>
      <c r="D108" s="360">
        <v>250000</v>
      </c>
      <c r="E108" s="359" t="s">
        <v>411</v>
      </c>
      <c r="F108" s="359" t="s">
        <v>411</v>
      </c>
      <c r="G108" s="359" t="s">
        <v>411</v>
      </c>
      <c r="H108" s="359" t="s">
        <v>411</v>
      </c>
      <c r="I108" s="359" t="s">
        <v>411</v>
      </c>
      <c r="J108" s="360">
        <v>250000</v>
      </c>
      <c r="K108" s="359" t="s">
        <v>411</v>
      </c>
      <c r="L108" s="359" t="s">
        <v>411</v>
      </c>
      <c r="M108" s="360">
        <v>233830</v>
      </c>
      <c r="N108" s="359" t="s">
        <v>411</v>
      </c>
      <c r="O108" s="359" t="s">
        <v>411</v>
      </c>
      <c r="P108" s="359" t="s">
        <v>411</v>
      </c>
      <c r="Q108" s="359" t="s">
        <v>411</v>
      </c>
      <c r="R108" s="359" t="s">
        <v>411</v>
      </c>
      <c r="S108" s="360">
        <v>233830</v>
      </c>
      <c r="T108" s="361">
        <v>0.93530000000000002</v>
      </c>
    </row>
    <row r="109" spans="1:20" s="362" customFormat="1">
      <c r="A109" s="346" t="s">
        <v>206</v>
      </c>
      <c r="B109" s="363" t="s">
        <v>411</v>
      </c>
      <c r="C109" s="363" t="s">
        <v>411</v>
      </c>
      <c r="D109" s="363" t="s">
        <v>411</v>
      </c>
      <c r="E109" s="363" t="s">
        <v>411</v>
      </c>
      <c r="F109" s="363" t="s">
        <v>411</v>
      </c>
      <c r="G109" s="363" t="s">
        <v>411</v>
      </c>
      <c r="H109" s="364">
        <v>411100</v>
      </c>
      <c r="I109" s="364">
        <v>15100</v>
      </c>
      <c r="J109" s="364">
        <v>426200</v>
      </c>
      <c r="K109" s="363" t="s">
        <v>411</v>
      </c>
      <c r="L109" s="363" t="s">
        <v>411</v>
      </c>
      <c r="M109" s="363" t="s">
        <v>411</v>
      </c>
      <c r="N109" s="363" t="s">
        <v>411</v>
      </c>
      <c r="O109" s="363" t="s">
        <v>411</v>
      </c>
      <c r="P109" s="363" t="s">
        <v>411</v>
      </c>
      <c r="Q109" s="364">
        <v>114550.45</v>
      </c>
      <c r="R109" s="364">
        <v>4860</v>
      </c>
      <c r="S109" s="364">
        <v>119410.45</v>
      </c>
      <c r="T109" s="365">
        <v>0.2802</v>
      </c>
    </row>
    <row r="110" spans="1:20" s="345" customFormat="1" ht="21">
      <c r="A110" s="344" t="s">
        <v>4</v>
      </c>
      <c r="B110" s="366">
        <v>70606478.719999999</v>
      </c>
      <c r="C110" s="366">
        <v>1272347</v>
      </c>
      <c r="D110" s="366">
        <v>25295438.649999999</v>
      </c>
      <c r="E110" s="366">
        <v>16703545.810000001</v>
      </c>
      <c r="F110" s="366">
        <v>19603850</v>
      </c>
      <c r="G110" s="366">
        <v>115159904.19</v>
      </c>
      <c r="H110" s="366">
        <v>192949287.34999999</v>
      </c>
      <c r="I110" s="366">
        <v>52829391.420000002</v>
      </c>
      <c r="J110" s="366">
        <v>494420243.13999999</v>
      </c>
      <c r="K110" s="366">
        <v>70606478.719999999</v>
      </c>
      <c r="L110" s="366">
        <v>1272347</v>
      </c>
      <c r="M110" s="366">
        <v>24153723.460000001</v>
      </c>
      <c r="N110" s="366">
        <v>16604925.109999999</v>
      </c>
      <c r="O110" s="366">
        <v>16981950</v>
      </c>
      <c r="P110" s="366">
        <v>84231900</v>
      </c>
      <c r="Q110" s="366">
        <v>192522463.37</v>
      </c>
      <c r="R110" s="366">
        <v>45873816.600000001</v>
      </c>
      <c r="S110" s="366">
        <v>452247604.25999999</v>
      </c>
      <c r="T110" s="367">
        <v>0.91469999999999996</v>
      </c>
    </row>
  </sheetData>
  <mergeCells count="10">
    <mergeCell ref="B1:J1"/>
    <mergeCell ref="K1:S1"/>
    <mergeCell ref="B2:C2"/>
    <mergeCell ref="D2:E2"/>
    <mergeCell ref="F2:G2"/>
    <mergeCell ref="J2:J3"/>
    <mergeCell ref="K2:L2"/>
    <mergeCell ref="M2:N2"/>
    <mergeCell ref="O2:P2"/>
    <mergeCell ref="S2:S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9"/>
  <sheetViews>
    <sheetView workbookViewId="0">
      <selection activeCell="E35" sqref="E35"/>
    </sheetView>
  </sheetViews>
  <sheetFormatPr defaultRowHeight="14.25"/>
  <cols>
    <col min="1" max="1" width="11.75" customWidth="1"/>
  </cols>
  <sheetData>
    <row r="1" spans="1:11">
      <c r="B1" t="s">
        <v>86</v>
      </c>
      <c r="C1" t="s">
        <v>76</v>
      </c>
      <c r="D1" t="s">
        <v>4</v>
      </c>
    </row>
    <row r="2" spans="1:11" ht="18.75">
      <c r="A2" s="21" t="s">
        <v>10</v>
      </c>
      <c r="B2" s="20">
        <f>SUM('S4'!J4)</f>
        <v>100</v>
      </c>
      <c r="C2" s="20">
        <f>SUM('S4'!J5)</f>
        <v>0</v>
      </c>
      <c r="D2" s="20">
        <f>SUM('S4'!J6)</f>
        <v>100</v>
      </c>
      <c r="H2" s="18">
        <v>48.85</v>
      </c>
      <c r="K2" s="20">
        <f>SUM('S4'!J4)</f>
        <v>100</v>
      </c>
    </row>
    <row r="3" spans="1:11" ht="18.75">
      <c r="A3" s="21" t="s">
        <v>87</v>
      </c>
      <c r="B3" s="20">
        <f>SUM('S4'!J7)</f>
        <v>97.046747901294367</v>
      </c>
      <c r="C3" s="20">
        <f>SUM('S4'!J8)</f>
        <v>82.608044072771776</v>
      </c>
      <c r="D3" s="20">
        <f>SUM('S4'!J9)</f>
        <v>88.347933139017528</v>
      </c>
      <c r="H3" s="18">
        <v>66.87</v>
      </c>
      <c r="K3" s="20">
        <f>SUM('S4'!J5)</f>
        <v>0</v>
      </c>
    </row>
    <row r="4" spans="1:11" ht="18.75">
      <c r="A4" s="22" t="s">
        <v>14</v>
      </c>
      <c r="B4" s="20">
        <f>SUM('S4'!J10)</f>
        <v>75.141458182614315</v>
      </c>
      <c r="C4" s="20">
        <f>SUM('S4'!J11)</f>
        <v>86.235045058094585</v>
      </c>
      <c r="D4" s="20">
        <f>SUM('S4'!J12)</f>
        <v>75.531851149597543</v>
      </c>
      <c r="H4" s="18">
        <v>51.45</v>
      </c>
      <c r="K4" s="20">
        <f>SUM('S4'!J6)</f>
        <v>100</v>
      </c>
    </row>
    <row r="5" spans="1:11" ht="18.75">
      <c r="A5" s="22" t="s">
        <v>15</v>
      </c>
      <c r="B5" s="20">
        <f>SUM('S4'!J13)</f>
        <v>99.77878955353394</v>
      </c>
      <c r="C5" s="20">
        <f>SUM('S4'!J14)</f>
        <v>69.828387023846659</v>
      </c>
      <c r="D5" s="20">
        <f>SUM('S4'!J15)</f>
        <v>95.186335717081533</v>
      </c>
      <c r="K5" s="20">
        <f>SUM('S4'!J7)</f>
        <v>97.046747901294367</v>
      </c>
    </row>
    <row r="6" spans="1:11" ht="18.75">
      <c r="A6" s="23" t="s">
        <v>16</v>
      </c>
      <c r="B6" s="20">
        <f>SUM('S4'!J16)</f>
        <v>100</v>
      </c>
      <c r="C6" s="20">
        <f>SUM('S4'!J17)</f>
        <v>72.255272012035377</v>
      </c>
      <c r="D6" s="20">
        <f>SUM('S4'!J18)</f>
        <v>96.028636752836832</v>
      </c>
      <c r="K6" s="20">
        <f>SUM('S4'!J8)</f>
        <v>82.608044072771776</v>
      </c>
    </row>
    <row r="7" spans="1:11" ht="18.75">
      <c r="A7" s="23" t="s">
        <v>4</v>
      </c>
      <c r="B7" s="20">
        <f>SUM('S4'!J19)</f>
        <v>92.78517364770255</v>
      </c>
      <c r="C7" s="20">
        <f>SUM('S4'!J20)</f>
        <v>78.038103519236117</v>
      </c>
      <c r="D7" s="20">
        <f>SUM('S4'!J21)</f>
        <v>90.046469857753294</v>
      </c>
      <c r="K7" s="20">
        <f>SUM('S4'!J9)</f>
        <v>88.347933139017528</v>
      </c>
    </row>
    <row r="8" spans="1:11" ht="18.75">
      <c r="K8" s="20">
        <f>SUM('S4'!J10)</f>
        <v>75.141458182614315</v>
      </c>
    </row>
    <row r="9" spans="1:11" ht="18.75">
      <c r="K9" s="20">
        <f>SUM('S4'!J11)</f>
        <v>86.235045058094585</v>
      </c>
    </row>
    <row r="10" spans="1:11" ht="18.75">
      <c r="A10" s="22"/>
      <c r="K10" s="20">
        <f>SUM('S4'!J12)</f>
        <v>75.531851149597543</v>
      </c>
    </row>
    <row r="11" spans="1:11" ht="18.75">
      <c r="A11" s="22"/>
      <c r="K11" s="20">
        <f>SUM('S4'!J13)</f>
        <v>99.77878955353394</v>
      </c>
    </row>
    <row r="12" spans="1:11" ht="18.75">
      <c r="A12" s="22"/>
      <c r="K12" s="20">
        <f>SUM('S4'!J14)</f>
        <v>69.828387023846659</v>
      </c>
    </row>
    <row r="13" spans="1:11" ht="18.75">
      <c r="A13" s="22"/>
      <c r="K13" s="20">
        <f>SUM('S4'!J15)</f>
        <v>95.186335717081533</v>
      </c>
    </row>
    <row r="14" spans="1:11" ht="18.75">
      <c r="A14" s="22"/>
      <c r="K14" s="20">
        <f>SUM('S4'!J16)</f>
        <v>100</v>
      </c>
    </row>
    <row r="15" spans="1:11" ht="18.75">
      <c r="A15" s="22"/>
      <c r="K15" s="20">
        <f>SUM('S4'!J17)</f>
        <v>72.255272012035377</v>
      </c>
    </row>
    <row r="16" spans="1:11" ht="18.75">
      <c r="A16" s="22"/>
      <c r="K16" s="20">
        <f>SUM('S4'!J18)</f>
        <v>96.028636752836832</v>
      </c>
    </row>
    <row r="17" spans="1:11" ht="18.75">
      <c r="A17" s="22"/>
      <c r="K17" s="20">
        <f>SUM('S4'!J19)</f>
        <v>92.78517364770255</v>
      </c>
    </row>
    <row r="18" spans="1:11" ht="18.75">
      <c r="A18" s="22"/>
      <c r="K18" s="20">
        <f>SUM('S4'!J20)</f>
        <v>78.038103519236117</v>
      </c>
    </row>
    <row r="19" spans="1:11" ht="18.75">
      <c r="A19" s="22"/>
      <c r="K19" s="20">
        <f>SUM('S4'!J21)</f>
        <v>90.046469857753294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6"/>
  <sheetViews>
    <sheetView tabSelected="1" view="pageBreakPreview" zoomScaleSheetLayoutView="100" workbookViewId="0">
      <selection activeCell="A5" sqref="A5:I5"/>
    </sheetView>
  </sheetViews>
  <sheetFormatPr defaultRowHeight="21"/>
  <cols>
    <col min="1" max="1" width="7.5" style="13" customWidth="1"/>
    <col min="2" max="2" width="7.25" style="13" customWidth="1"/>
    <col min="3" max="3" width="10.25" style="13" customWidth="1"/>
    <col min="4" max="4" width="9" style="13"/>
    <col min="5" max="8" width="18.125" style="13" customWidth="1"/>
    <col min="9" max="9" width="11.875" style="13" customWidth="1"/>
    <col min="10" max="16384" width="9" style="13"/>
  </cols>
  <sheetData>
    <row r="1" spans="1:13" ht="23.25">
      <c r="A1" s="459" t="s">
        <v>82</v>
      </c>
      <c r="B1" s="459"/>
      <c r="C1" s="459"/>
      <c r="D1" s="459"/>
      <c r="E1" s="459"/>
      <c r="F1" s="459"/>
      <c r="G1" s="459"/>
      <c r="H1" s="459"/>
      <c r="I1" s="459"/>
      <c r="J1" s="34"/>
    </row>
    <row r="2" spans="1:13">
      <c r="A2" s="34"/>
      <c r="B2" s="34"/>
      <c r="C2" s="34"/>
      <c r="D2" s="34"/>
      <c r="E2" s="34"/>
      <c r="F2" s="34"/>
      <c r="G2" s="34"/>
      <c r="H2" s="34"/>
    </row>
    <row r="3" spans="1:13" ht="42" customHeight="1">
      <c r="A3" s="541" t="s">
        <v>553</v>
      </c>
      <c r="B3" s="541"/>
      <c r="C3" s="541"/>
      <c r="D3" s="541"/>
      <c r="E3" s="541"/>
      <c r="F3" s="541"/>
      <c r="G3" s="541"/>
      <c r="H3" s="541"/>
      <c r="I3" s="541"/>
      <c r="J3" s="119"/>
      <c r="K3" s="119"/>
      <c r="L3" s="119"/>
    </row>
    <row r="4" spans="1:13" ht="40.5" customHeight="1">
      <c r="A4" s="461" t="s">
        <v>552</v>
      </c>
      <c r="B4" s="461"/>
      <c r="C4" s="461"/>
      <c r="D4" s="461"/>
      <c r="E4" s="461"/>
      <c r="F4" s="461"/>
      <c r="G4" s="461"/>
      <c r="H4" s="461"/>
      <c r="I4" s="461"/>
      <c r="J4" s="120"/>
      <c r="K4" s="120"/>
      <c r="L4" s="120"/>
      <c r="M4">
        <v>9.5399999999999991</v>
      </c>
    </row>
    <row r="5" spans="1:13" ht="56.25" customHeight="1">
      <c r="A5" s="458" t="s">
        <v>549</v>
      </c>
      <c r="B5" s="458"/>
      <c r="C5" s="458"/>
      <c r="D5" s="458"/>
      <c r="E5" s="458"/>
      <c r="F5" s="458"/>
      <c r="G5" s="458"/>
      <c r="H5" s="458"/>
      <c r="I5" s="458"/>
      <c r="J5" s="119"/>
      <c r="K5" s="119"/>
      <c r="L5" s="119"/>
      <c r="M5">
        <v>27.55</v>
      </c>
    </row>
    <row r="6" spans="1:13" ht="42" customHeight="1">
      <c r="A6" s="462" t="s">
        <v>550</v>
      </c>
      <c r="B6" s="462"/>
      <c r="C6" s="462"/>
      <c r="D6" s="462"/>
      <c r="E6" s="462"/>
      <c r="F6" s="462"/>
      <c r="G6" s="462"/>
      <c r="H6" s="462"/>
      <c r="I6" s="462"/>
      <c r="J6" s="121"/>
      <c r="K6" s="121"/>
      <c r="L6" s="121"/>
      <c r="M6"/>
    </row>
    <row r="7" spans="1:13" ht="39" customHeight="1">
      <c r="A7" s="462" t="s">
        <v>485</v>
      </c>
      <c r="B7" s="462"/>
      <c r="C7" s="462"/>
      <c r="D7" s="462"/>
      <c r="E7" s="462"/>
      <c r="F7" s="462"/>
      <c r="G7" s="462"/>
      <c r="H7" s="462"/>
      <c r="I7" s="462"/>
      <c r="J7" s="121"/>
      <c r="K7" s="121"/>
      <c r="L7"/>
      <c r="M7"/>
    </row>
    <row r="8" spans="1:13" ht="82.5" customHeight="1">
      <c r="A8" s="458" t="s">
        <v>554</v>
      </c>
      <c r="B8" s="458"/>
      <c r="C8" s="458"/>
      <c r="D8" s="458"/>
      <c r="E8" s="458"/>
      <c r="F8" s="458"/>
      <c r="G8" s="458"/>
      <c r="H8" s="458"/>
      <c r="I8" s="458"/>
      <c r="J8" s="119"/>
      <c r="K8" s="119"/>
      <c r="L8"/>
      <c r="M8"/>
    </row>
    <row r="9" spans="1:13" ht="39.75" customHeight="1">
      <c r="A9" s="119"/>
      <c r="B9" s="119"/>
      <c r="C9" s="119"/>
      <c r="D9" s="119"/>
      <c r="E9" s="119"/>
      <c r="F9" s="119"/>
      <c r="G9" s="119"/>
      <c r="H9" s="119"/>
      <c r="I9" s="119"/>
      <c r="J9" s="119"/>
      <c r="L9"/>
    </row>
    <row r="10" spans="1:13" ht="25.5" customHeight="1">
      <c r="A10" s="112"/>
      <c r="B10" s="112"/>
      <c r="C10" s="112"/>
      <c r="D10" s="112"/>
      <c r="E10" s="112"/>
      <c r="F10" s="112"/>
      <c r="G10" s="112"/>
      <c r="H10" s="112"/>
      <c r="I10" s="112"/>
      <c r="L10"/>
    </row>
    <row r="11" spans="1:13" ht="25.5" customHeight="1">
      <c r="A11" s="112"/>
      <c r="B11" s="112"/>
      <c r="C11" s="112"/>
      <c r="D11" s="112"/>
      <c r="E11" s="112"/>
      <c r="F11" s="112"/>
      <c r="G11" s="112"/>
      <c r="H11" s="112"/>
      <c r="I11" s="112"/>
      <c r="L11"/>
    </row>
    <row r="12" spans="1:13" ht="25.5" customHeight="1">
      <c r="A12" s="112"/>
      <c r="B12" s="112"/>
      <c r="C12" s="112"/>
      <c r="D12" s="112"/>
      <c r="E12" s="112"/>
      <c r="F12" s="112"/>
      <c r="G12" s="112"/>
      <c r="H12" s="112"/>
      <c r="I12" s="112"/>
    </row>
    <row r="13" spans="1:13">
      <c r="A13" s="460" t="s">
        <v>80</v>
      </c>
      <c r="B13" s="460"/>
      <c r="C13" s="460"/>
      <c r="D13" s="460"/>
      <c r="E13" s="460"/>
      <c r="F13" s="460"/>
      <c r="G13" s="460"/>
      <c r="H13" s="460"/>
    </row>
    <row r="14" spans="1:13">
      <c r="L14" s="125"/>
    </row>
    <row r="15" spans="1:13">
      <c r="L15" s="125"/>
    </row>
    <row r="16" spans="1:13">
      <c r="L16" s="125"/>
    </row>
  </sheetData>
  <mergeCells count="8">
    <mergeCell ref="A8:I8"/>
    <mergeCell ref="A1:I1"/>
    <mergeCell ref="A13:H13"/>
    <mergeCell ref="A3:I3"/>
    <mergeCell ref="A4:I4"/>
    <mergeCell ref="A5:I5"/>
    <mergeCell ref="A6:I6"/>
    <mergeCell ref="A7:I7"/>
  </mergeCells>
  <pageMargins left="1.35" right="0.36"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51FD-08FE-4016-B05E-A782E92709FC}">
  <dimension ref="A1:K7"/>
  <sheetViews>
    <sheetView workbookViewId="0">
      <selection activeCell="C11" sqref="C11"/>
    </sheetView>
  </sheetViews>
  <sheetFormatPr defaultRowHeight="14.25"/>
  <cols>
    <col min="1" max="1" width="29.5" customWidth="1"/>
    <col min="2" max="3" width="11.625" bestFit="1" customWidth="1"/>
    <col min="4" max="4" width="10.75" bestFit="1" customWidth="1"/>
    <col min="5" max="5" width="6.875" bestFit="1" customWidth="1"/>
    <col min="6" max="6" width="11.625" bestFit="1" customWidth="1"/>
    <col min="7" max="7" width="4.75" bestFit="1" customWidth="1"/>
    <col min="8" max="8" width="11.625" bestFit="1" customWidth="1"/>
    <col min="9" max="9" width="4.75" bestFit="1" customWidth="1"/>
    <col min="10" max="10" width="11.625" bestFit="1" customWidth="1"/>
    <col min="11" max="11" width="4.75" bestFit="1" customWidth="1"/>
  </cols>
  <sheetData>
    <row r="1" spans="1:11" ht="37.5">
      <c r="A1" s="306" t="s">
        <v>97</v>
      </c>
      <c r="B1" s="307">
        <v>5719640</v>
      </c>
      <c r="C1" s="308">
        <v>4343364</v>
      </c>
      <c r="D1" s="308">
        <v>253512</v>
      </c>
      <c r="E1" s="308">
        <v>5.84</v>
      </c>
      <c r="F1" s="309">
        <v>610270</v>
      </c>
      <c r="G1" s="308">
        <v>14.05</v>
      </c>
      <c r="H1" s="309">
        <v>1281001</v>
      </c>
      <c r="I1" s="403">
        <v>28.24</v>
      </c>
      <c r="J1" s="308">
        <v>3024080</v>
      </c>
      <c r="K1" s="308">
        <v>69.63</v>
      </c>
    </row>
    <row r="2" spans="1:11" ht="37.5">
      <c r="A2" s="67" t="s">
        <v>94</v>
      </c>
      <c r="B2" s="272">
        <v>35935800</v>
      </c>
      <c r="C2" s="46">
        <v>44572226.420000002</v>
      </c>
      <c r="D2" s="46">
        <v>2306607.15</v>
      </c>
      <c r="E2" s="48">
        <v>5.17</v>
      </c>
      <c r="F2" s="46">
        <v>7766303.6699999999</v>
      </c>
      <c r="G2" s="48">
        <v>17.420000000000002</v>
      </c>
      <c r="H2" s="202">
        <v>20022279.870000001</v>
      </c>
      <c r="I2" s="402">
        <v>52.73</v>
      </c>
      <c r="J2" s="46">
        <v>36151651.939999998</v>
      </c>
      <c r="K2" s="48">
        <v>81.11</v>
      </c>
    </row>
    <row r="3" spans="1:11" ht="37.5">
      <c r="A3" s="67" t="s">
        <v>96</v>
      </c>
      <c r="B3" s="230">
        <v>187971600</v>
      </c>
      <c r="C3" s="46">
        <v>191318530.30000001</v>
      </c>
      <c r="D3" s="46">
        <v>21111814.399999999</v>
      </c>
      <c r="E3" s="48">
        <v>11.03</v>
      </c>
      <c r="F3" s="46">
        <v>61802220.990000002</v>
      </c>
      <c r="G3" s="48">
        <v>32.299999999999997</v>
      </c>
      <c r="H3" s="202">
        <v>126107821.89</v>
      </c>
      <c r="I3" s="402">
        <v>63.62</v>
      </c>
      <c r="J3" s="46">
        <v>160989463.50999999</v>
      </c>
      <c r="K3" s="48">
        <v>84.15</v>
      </c>
    </row>
    <row r="4" spans="1:11" ht="37.5">
      <c r="A4" s="67" t="s">
        <v>92</v>
      </c>
      <c r="B4" s="230">
        <v>310798300</v>
      </c>
      <c r="C4" s="46">
        <v>345567280.92000002</v>
      </c>
      <c r="D4" s="46">
        <v>81867851.439999998</v>
      </c>
      <c r="E4" s="48">
        <v>23.69</v>
      </c>
      <c r="F4" s="46">
        <v>161900667.94999999</v>
      </c>
      <c r="G4" s="48">
        <v>46.85</v>
      </c>
      <c r="H4" s="202">
        <v>241021462.75999999</v>
      </c>
      <c r="I4" s="402">
        <v>78.38</v>
      </c>
      <c r="J4" s="46">
        <v>326402666.87</v>
      </c>
      <c r="K4" s="48">
        <v>94.45</v>
      </c>
    </row>
    <row r="5" spans="1:11" ht="37.5">
      <c r="A5" s="67" t="s">
        <v>95</v>
      </c>
      <c r="B5" s="230">
        <v>2610000</v>
      </c>
      <c r="C5" s="46">
        <v>3002576</v>
      </c>
      <c r="D5" s="46">
        <v>681190</v>
      </c>
      <c r="E5" s="48">
        <v>22.69</v>
      </c>
      <c r="F5" s="46">
        <v>989977</v>
      </c>
      <c r="G5" s="48">
        <v>32.97</v>
      </c>
      <c r="H5" s="202">
        <v>1763305</v>
      </c>
      <c r="I5" s="402">
        <v>66.819999999999993</v>
      </c>
      <c r="J5" s="46">
        <v>2866025.3</v>
      </c>
      <c r="K5" s="48">
        <v>95.45</v>
      </c>
    </row>
    <row r="6" spans="1:11" ht="37.5">
      <c r="A6" s="310" t="s">
        <v>93</v>
      </c>
      <c r="B6" s="311">
        <v>9796400</v>
      </c>
      <c r="C6" s="312">
        <v>9796400</v>
      </c>
      <c r="D6" s="312">
        <v>4331690</v>
      </c>
      <c r="E6" s="48">
        <v>44.22</v>
      </c>
      <c r="F6" s="46">
        <v>5699650</v>
      </c>
      <c r="G6" s="48">
        <v>58.18</v>
      </c>
      <c r="H6" s="202">
        <v>8174635</v>
      </c>
      <c r="I6" s="402">
        <v>83.45</v>
      </c>
      <c r="J6" s="312">
        <v>9584621</v>
      </c>
      <c r="K6" s="313">
        <v>97.84</v>
      </c>
    </row>
    <row r="7" spans="1:11" ht="18.75">
      <c r="A7" s="67"/>
      <c r="B7" s="272"/>
      <c r="C7" s="46"/>
      <c r="D7" s="46"/>
      <c r="E7" s="48"/>
      <c r="F7" s="46"/>
      <c r="G7" s="48"/>
      <c r="H7" s="202"/>
      <c r="I7" s="402"/>
      <c r="J7" s="46"/>
      <c r="K7" s="48"/>
    </row>
  </sheetData>
  <sortState xmlns:xlrd2="http://schemas.microsoft.com/office/spreadsheetml/2017/richdata2" ref="A1:K7">
    <sortCondition ref="K1:K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N37"/>
  <sheetViews>
    <sheetView view="pageBreakPreview" zoomScale="90" zoomScaleSheetLayoutView="90" workbookViewId="0">
      <selection activeCell="M12" sqref="M12"/>
    </sheetView>
  </sheetViews>
  <sheetFormatPr defaultRowHeight="18.75"/>
  <cols>
    <col min="1" max="1" width="13.125" style="97" customWidth="1"/>
    <col min="2" max="3" width="12.5" style="97" customWidth="1"/>
    <col min="4" max="4" width="8.5" style="97" bestFit="1" customWidth="1"/>
    <col min="5" max="5" width="11.75" style="97" customWidth="1"/>
    <col min="6" max="6" width="11.75" style="97" bestFit="1" customWidth="1"/>
    <col min="7" max="7" width="11.875" style="211" bestFit="1" customWidth="1"/>
    <col min="8" max="8" width="11.875" style="97" bestFit="1" customWidth="1"/>
    <col min="9" max="9" width="12.5" style="97" customWidth="1"/>
    <col min="10" max="10" width="9.25" style="97" customWidth="1"/>
    <col min="11" max="11" width="11.875" style="97" bestFit="1" customWidth="1"/>
    <col min="12" max="12" width="7.375" style="97" customWidth="1"/>
    <col min="13" max="13" width="17.375" style="97" bestFit="1" customWidth="1"/>
    <col min="14" max="16384" width="9" style="97"/>
  </cols>
  <sheetData>
    <row r="1" spans="1:14">
      <c r="A1" s="463" t="s">
        <v>359</v>
      </c>
      <c r="B1" s="463"/>
      <c r="C1" s="463"/>
      <c r="D1" s="463"/>
      <c r="E1" s="463"/>
      <c r="F1" s="463"/>
      <c r="G1" s="463"/>
      <c r="H1" s="463"/>
      <c r="I1" s="463"/>
      <c r="J1" s="463"/>
      <c r="K1" s="463"/>
      <c r="L1" s="463"/>
      <c r="M1" s="130"/>
    </row>
    <row r="2" spans="1:14">
      <c r="A2" s="463" t="s">
        <v>71</v>
      </c>
      <c r="B2" s="463"/>
      <c r="C2" s="463"/>
      <c r="D2" s="463"/>
      <c r="E2" s="463"/>
      <c r="F2" s="463"/>
      <c r="G2" s="463"/>
      <c r="H2" s="463"/>
      <c r="I2" s="463"/>
      <c r="J2" s="463"/>
      <c r="K2" s="463"/>
      <c r="L2" s="463"/>
      <c r="M2" s="130"/>
    </row>
    <row r="3" spans="1:14">
      <c r="A3" s="463" t="s">
        <v>436</v>
      </c>
      <c r="B3" s="463"/>
      <c r="C3" s="463"/>
      <c r="D3" s="463"/>
      <c r="E3" s="463"/>
      <c r="F3" s="463"/>
      <c r="G3" s="463"/>
      <c r="H3" s="463"/>
      <c r="I3" s="463"/>
      <c r="J3" s="463"/>
      <c r="K3" s="463"/>
      <c r="L3" s="463"/>
      <c r="M3" s="130"/>
    </row>
    <row r="4" spans="1:14">
      <c r="A4" s="98" t="s">
        <v>360</v>
      </c>
      <c r="B4" s="99"/>
      <c r="C4" s="99"/>
      <c r="D4" s="99"/>
      <c r="E4" s="99"/>
      <c r="F4" s="99"/>
      <c r="G4" s="209"/>
      <c r="H4" s="99"/>
      <c r="I4" s="99"/>
      <c r="J4" s="99"/>
      <c r="K4" s="99"/>
      <c r="L4" s="99"/>
    </row>
    <row r="5" spans="1:14">
      <c r="A5" s="475" t="s">
        <v>211</v>
      </c>
      <c r="B5" s="475" t="s">
        <v>2</v>
      </c>
      <c r="C5" s="467" t="s">
        <v>67</v>
      </c>
      <c r="D5" s="475" t="s">
        <v>5</v>
      </c>
      <c r="E5" s="475" t="s">
        <v>3</v>
      </c>
      <c r="F5" s="475"/>
      <c r="G5" s="475"/>
      <c r="H5" s="475"/>
      <c r="I5" s="475" t="s">
        <v>4</v>
      </c>
      <c r="J5" s="475" t="s">
        <v>5</v>
      </c>
      <c r="K5" s="99"/>
      <c r="L5" s="99"/>
    </row>
    <row r="6" spans="1:14">
      <c r="A6" s="475"/>
      <c r="B6" s="475"/>
      <c r="C6" s="468"/>
      <c r="D6" s="475"/>
      <c r="E6" s="94" t="s">
        <v>6</v>
      </c>
      <c r="F6" s="94" t="s">
        <v>7</v>
      </c>
      <c r="G6" s="207" t="s">
        <v>8</v>
      </c>
      <c r="H6" s="94" t="s">
        <v>9</v>
      </c>
      <c r="I6" s="475"/>
      <c r="J6" s="475"/>
      <c r="K6" s="99"/>
      <c r="L6" s="99"/>
    </row>
    <row r="7" spans="1:14">
      <c r="A7" s="102" t="s">
        <v>11</v>
      </c>
      <c r="B7" s="72">
        <f>'S4'!C19</f>
        <v>449500700</v>
      </c>
      <c r="C7" s="72">
        <f>SUM('S4'!D19)</f>
        <v>487433270.64000005</v>
      </c>
      <c r="D7" s="160">
        <f>SUM(C7/C9*100)</f>
        <v>81.428827786865128</v>
      </c>
      <c r="E7" s="268">
        <f>'S4'!E19</f>
        <v>93904231.640000001</v>
      </c>
      <c r="F7" s="268">
        <f>'S4'!F19</f>
        <v>108516849.62</v>
      </c>
      <c r="G7" s="208">
        <v>139626880</v>
      </c>
      <c r="H7" s="268">
        <f>SUM('S4'!I19)-SUM(E7:G7)</f>
        <v>110217845.31999999</v>
      </c>
      <c r="I7" s="72">
        <f>SUM(E7:H7)</f>
        <v>452265806.57999998</v>
      </c>
      <c r="J7" s="108">
        <f>SUM(I7/C7*100)</f>
        <v>92.78517364770255</v>
      </c>
      <c r="K7" s="99"/>
      <c r="L7" s="99"/>
      <c r="M7" s="110" t="e">
        <f>SUM(#REF!)</f>
        <v>#REF!</v>
      </c>
      <c r="N7" s="110">
        <f>SUM('S4'!I19)</f>
        <v>452265806.57999998</v>
      </c>
    </row>
    <row r="8" spans="1:14">
      <c r="A8" s="269" t="s">
        <v>12</v>
      </c>
      <c r="B8" s="200">
        <f>'S4'!C20</f>
        <v>103331040</v>
      </c>
      <c r="C8" s="200">
        <f>SUM('S4'!D20)</f>
        <v>111167107.00000001</v>
      </c>
      <c r="D8" s="270">
        <f>SUM(C8/C9*100)</f>
        <v>18.571172213134858</v>
      </c>
      <c r="E8" s="199">
        <f>'S4'!E20</f>
        <v>16648033.35</v>
      </c>
      <c r="F8" s="199">
        <f>'S4'!F20</f>
        <v>19699975</v>
      </c>
      <c r="G8" s="208">
        <v>19974535.91</v>
      </c>
      <c r="H8" s="199">
        <f>SUM('S4'!I20)-SUM(E8:G8)</f>
        <v>30430157.779999986</v>
      </c>
      <c r="I8" s="200">
        <f>SUM(E8:H8)</f>
        <v>86752702.039999992</v>
      </c>
      <c r="J8" s="111">
        <f>SUM(I8/C8*100)</f>
        <v>78.038103519236117</v>
      </c>
      <c r="K8" s="99"/>
      <c r="L8" s="99"/>
      <c r="M8" s="110" t="e">
        <f>SUM(#REF!)</f>
        <v>#REF!</v>
      </c>
      <c r="N8" s="110">
        <f>SUM('S4'!I20)</f>
        <v>86752702.039999992</v>
      </c>
    </row>
    <row r="9" spans="1:14" s="152" customFormat="1" ht="22.5" customHeight="1">
      <c r="A9" s="397" t="s">
        <v>212</v>
      </c>
      <c r="B9" s="398">
        <f>'S4'!C21</f>
        <v>552831740</v>
      </c>
      <c r="C9" s="398">
        <f>SUM(C7:C8)</f>
        <v>598600377.6400001</v>
      </c>
      <c r="D9" s="398">
        <v>100</v>
      </c>
      <c r="E9" s="399">
        <f>SUM(E7:E8)</f>
        <v>110552264.98999999</v>
      </c>
      <c r="F9" s="399">
        <f t="shared" ref="F9" si="0">SUM(F7:F8)</f>
        <v>128216824.62</v>
      </c>
      <c r="G9" s="399">
        <v>159601415.91</v>
      </c>
      <c r="H9" s="399">
        <f>SUM(H7:H8)</f>
        <v>140648003.09999996</v>
      </c>
      <c r="I9" s="398">
        <f>SUM(I7:I8)</f>
        <v>539018508.62</v>
      </c>
      <c r="J9" s="398">
        <f>SUM(I9/C9*100)</f>
        <v>90.04646985775328</v>
      </c>
      <c r="K9" s="150"/>
      <c r="L9" s="150"/>
      <c r="M9" s="151" t="e">
        <f>SUM(#REF!)</f>
        <v>#REF!</v>
      </c>
    </row>
    <row r="10" spans="1:14">
      <c r="A10" s="99"/>
      <c r="B10" s="99"/>
      <c r="C10" s="99"/>
      <c r="D10" s="99"/>
      <c r="E10" s="99"/>
      <c r="F10" s="99"/>
      <c r="G10" s="209"/>
      <c r="H10" s="99"/>
      <c r="I10" s="99"/>
      <c r="J10" s="99"/>
      <c r="K10" s="99"/>
      <c r="L10" s="99"/>
    </row>
    <row r="11" spans="1:14" s="106" customFormat="1">
      <c r="A11" s="475" t="s">
        <v>211</v>
      </c>
      <c r="B11" s="475" t="s">
        <v>2</v>
      </c>
      <c r="C11" s="467" t="s">
        <v>67</v>
      </c>
      <c r="D11" s="475" t="s">
        <v>5</v>
      </c>
      <c r="E11" s="475" t="s">
        <v>213</v>
      </c>
      <c r="F11" s="475"/>
      <c r="G11" s="475"/>
      <c r="H11" s="475"/>
      <c r="I11" s="475"/>
      <c r="J11" s="475"/>
      <c r="K11" s="475"/>
      <c r="L11" s="475"/>
    </row>
    <row r="12" spans="1:14" s="106" customFormat="1">
      <c r="A12" s="475"/>
      <c r="B12" s="475"/>
      <c r="C12" s="469"/>
      <c r="D12" s="475"/>
      <c r="E12" s="475" t="s">
        <v>6</v>
      </c>
      <c r="F12" s="475"/>
      <c r="G12" s="475" t="s">
        <v>7</v>
      </c>
      <c r="H12" s="475"/>
      <c r="I12" s="475" t="s">
        <v>8</v>
      </c>
      <c r="J12" s="475"/>
      <c r="K12" s="475" t="s">
        <v>9</v>
      </c>
      <c r="L12" s="475"/>
    </row>
    <row r="13" spans="1:14" s="106" customFormat="1">
      <c r="A13" s="475"/>
      <c r="B13" s="475"/>
      <c r="C13" s="470"/>
      <c r="D13" s="475"/>
      <c r="E13" s="94" t="s">
        <v>214</v>
      </c>
      <c r="F13" s="204" t="s">
        <v>5</v>
      </c>
      <c r="G13" s="207" t="s">
        <v>214</v>
      </c>
      <c r="H13" s="314" t="s">
        <v>5</v>
      </c>
      <c r="I13" s="94" t="s">
        <v>214</v>
      </c>
      <c r="J13" s="204" t="s">
        <v>5</v>
      </c>
      <c r="K13" s="94" t="s">
        <v>214</v>
      </c>
      <c r="L13" s="204" t="s">
        <v>5</v>
      </c>
    </row>
    <row r="14" spans="1:14">
      <c r="A14" s="100" t="s">
        <v>11</v>
      </c>
      <c r="B14" s="50">
        <f>B7</f>
        <v>449500700</v>
      </c>
      <c r="C14" s="50">
        <f>SUM('S4'!D19)</f>
        <v>487433270.64000005</v>
      </c>
      <c r="D14" s="157">
        <f>SUM(C7/C9)*100</f>
        <v>81.428827786865128</v>
      </c>
      <c r="E14" s="268">
        <f>E7</f>
        <v>93904231.640000001</v>
      </c>
      <c r="F14" s="214">
        <f>SUM(E14/C14*100)</f>
        <v>19.265043503637681</v>
      </c>
      <c r="G14" s="268">
        <f>SUM(E7:F7)</f>
        <v>202421081.25999999</v>
      </c>
      <c r="H14" s="326">
        <f>SUM(G14/C14*100)</f>
        <v>41.527957456457791</v>
      </c>
      <c r="I14" s="268">
        <v>342047961.25999999</v>
      </c>
      <c r="J14" s="214">
        <v>76.099999999999994</v>
      </c>
      <c r="K14" s="50">
        <f>I7</f>
        <v>452265806.57999998</v>
      </c>
      <c r="L14" s="205">
        <f>SUM(K14/C14*100)</f>
        <v>92.78517364770255</v>
      </c>
    </row>
    <row r="15" spans="1:14" s="154" customFormat="1">
      <c r="A15" s="153" t="s">
        <v>12</v>
      </c>
      <c r="B15" s="111">
        <f>B8</f>
        <v>103331040</v>
      </c>
      <c r="C15" s="111">
        <f>SUM('S4'!D20)</f>
        <v>111167107.00000001</v>
      </c>
      <c r="D15" s="155">
        <f>SUM(C8/C9)*100</f>
        <v>18.571172213134858</v>
      </c>
      <c r="E15" s="199">
        <f>E8</f>
        <v>16648033.35</v>
      </c>
      <c r="F15" s="214">
        <f t="shared" ref="F15:F18" si="1">SUM(E15/C15*100)</f>
        <v>14.975682824956484</v>
      </c>
      <c r="G15" s="199">
        <f>SUM(E8:F8)</f>
        <v>36348008.350000001</v>
      </c>
      <c r="H15" s="326">
        <f t="shared" ref="H15:H18" si="2">SUM(G15/C15*100)</f>
        <v>32.696729573074165</v>
      </c>
      <c r="I15" s="199">
        <v>56322544.259999998</v>
      </c>
      <c r="J15" s="400">
        <v>50.66</v>
      </c>
      <c r="K15" s="111">
        <f>I8</f>
        <v>86752702.039999992</v>
      </c>
      <c r="L15" s="205">
        <f>SUM(K15/C15*100)</f>
        <v>78.038103519236117</v>
      </c>
    </row>
    <row r="16" spans="1:14" s="152" customFormat="1">
      <c r="A16" s="103" t="s">
        <v>293</v>
      </c>
      <c r="B16" s="104">
        <f>B9</f>
        <v>552831740</v>
      </c>
      <c r="C16" s="104">
        <f>SUM(C14:C15)</f>
        <v>598600377.6400001</v>
      </c>
      <c r="D16" s="157">
        <v>100</v>
      </c>
      <c r="E16" s="271">
        <f>SUM(E14:E15)</f>
        <v>110552264.98999999</v>
      </c>
      <c r="F16" s="229">
        <f t="shared" si="1"/>
        <v>18.468458945157305</v>
      </c>
      <c r="G16" s="271">
        <f>SUM(G14:G15)</f>
        <v>238769089.60999998</v>
      </c>
      <c r="H16" s="327">
        <f t="shared" si="2"/>
        <v>39.88789491770023</v>
      </c>
      <c r="I16" s="271">
        <v>398370505.51999998</v>
      </c>
      <c r="J16" s="401">
        <v>71.05</v>
      </c>
      <c r="K16" s="104">
        <f>I9</f>
        <v>539018508.62</v>
      </c>
      <c r="L16" s="206">
        <f>SUM(K16/C16*100)</f>
        <v>90.04646985775328</v>
      </c>
    </row>
    <row r="17" spans="1:12" s="152" customFormat="1" ht="17.25" customHeight="1">
      <c r="A17" s="103" t="s">
        <v>294</v>
      </c>
      <c r="B17" s="104">
        <f>SUM(B16-B18)</f>
        <v>412304450</v>
      </c>
      <c r="C17" s="104">
        <f>SUM(C16-C18)</f>
        <v>458921191.45000011</v>
      </c>
      <c r="D17" s="157">
        <f>SUM(C17/C16)*100</f>
        <v>76.665703630076322</v>
      </c>
      <c r="E17" s="271">
        <v>98919974.989999995</v>
      </c>
      <c r="F17" s="229">
        <f t="shared" si="1"/>
        <v>21.554893701346415</v>
      </c>
      <c r="G17" s="271">
        <v>197597439.61000001</v>
      </c>
      <c r="H17" s="327">
        <f t="shared" si="2"/>
        <v>43.056943826384284</v>
      </c>
      <c r="I17" s="271">
        <v>306874200.51999998</v>
      </c>
      <c r="J17" s="401">
        <v>73.55</v>
      </c>
      <c r="K17" s="104">
        <f>SUM(K16-K18)</f>
        <v>433516233.62</v>
      </c>
      <c r="L17" s="206">
        <f>SUM(K17/C17*100)</f>
        <v>94.464200323865839</v>
      </c>
    </row>
    <row r="18" spans="1:12" s="152" customFormat="1">
      <c r="A18" s="103" t="s">
        <v>217</v>
      </c>
      <c r="B18" s="105">
        <f>'S4'!C12</f>
        <v>140527290</v>
      </c>
      <c r="C18" s="105">
        <f>'S4'!D12</f>
        <v>139679186.19</v>
      </c>
      <c r="D18" s="158">
        <f>SUM(C18/C16)*100</f>
        <v>23.334296369923681</v>
      </c>
      <c r="E18" s="271">
        <f>SUM(E16-E17)</f>
        <v>11632290</v>
      </c>
      <c r="F18" s="229">
        <f t="shared" si="1"/>
        <v>8.3278620940539145</v>
      </c>
      <c r="G18" s="271">
        <f>SUM(G16-G17)</f>
        <v>41171649.99999997</v>
      </c>
      <c r="H18" s="327">
        <f t="shared" si="2"/>
        <v>29.475866178083127</v>
      </c>
      <c r="I18" s="271">
        <v>91496305</v>
      </c>
      <c r="J18" s="401">
        <v>63.78</v>
      </c>
      <c r="K18" s="104">
        <f>'S4'!I12</f>
        <v>105502275</v>
      </c>
      <c r="L18" s="206">
        <f>SUM(K18/C18*100)</f>
        <v>75.531851149597543</v>
      </c>
    </row>
    <row r="19" spans="1:12">
      <c r="A19" s="464" t="s">
        <v>215</v>
      </c>
      <c r="B19" s="471" t="s">
        <v>216</v>
      </c>
      <c r="C19" s="471"/>
      <c r="D19" s="471"/>
      <c r="E19" s="472">
        <v>32</v>
      </c>
      <c r="F19" s="472"/>
      <c r="G19" s="473">
        <v>54</v>
      </c>
      <c r="H19" s="474"/>
      <c r="I19" s="472">
        <v>77</v>
      </c>
      <c r="J19" s="472"/>
      <c r="K19" s="472">
        <v>100</v>
      </c>
      <c r="L19" s="472"/>
    </row>
    <row r="20" spans="1:12">
      <c r="A20" s="465"/>
      <c r="B20" s="476" t="s">
        <v>294</v>
      </c>
      <c r="C20" s="477"/>
      <c r="D20" s="478"/>
      <c r="E20" s="473">
        <v>36</v>
      </c>
      <c r="F20" s="474"/>
      <c r="G20" s="473">
        <v>57</v>
      </c>
      <c r="H20" s="474"/>
      <c r="I20" s="473">
        <v>80</v>
      </c>
      <c r="J20" s="474"/>
      <c r="K20" s="473">
        <v>100</v>
      </c>
      <c r="L20" s="474"/>
    </row>
    <row r="21" spans="1:12">
      <c r="A21" s="466"/>
      <c r="B21" s="471" t="s">
        <v>217</v>
      </c>
      <c r="C21" s="471"/>
      <c r="D21" s="471"/>
      <c r="E21" s="472">
        <v>20</v>
      </c>
      <c r="F21" s="472"/>
      <c r="G21" s="472">
        <v>45</v>
      </c>
      <c r="H21" s="472"/>
      <c r="I21" s="472">
        <v>65</v>
      </c>
      <c r="J21" s="472"/>
      <c r="K21" s="472">
        <v>100</v>
      </c>
      <c r="L21" s="472"/>
    </row>
    <row r="22" spans="1:12">
      <c r="A22" s="10"/>
      <c r="B22" s="480"/>
      <c r="C22" s="480"/>
      <c r="D22" s="480"/>
      <c r="E22" s="479"/>
      <c r="F22" s="479"/>
      <c r="G22" s="479"/>
      <c r="H22" s="479"/>
      <c r="I22" s="479"/>
      <c r="J22" s="479"/>
      <c r="K22" s="479"/>
      <c r="L22" s="479"/>
    </row>
    <row r="33" spans="3:7" ht="18">
      <c r="C33"/>
      <c r="D33" t="s">
        <v>6</v>
      </c>
      <c r="E33" t="s">
        <v>7</v>
      </c>
      <c r="F33" t="s">
        <v>8</v>
      </c>
      <c r="G33" s="210" t="s">
        <v>9</v>
      </c>
    </row>
    <row r="34" spans="3:7" ht="18">
      <c r="C34" t="s">
        <v>83</v>
      </c>
      <c r="D34" s="15">
        <f>E19</f>
        <v>32</v>
      </c>
      <c r="E34" s="15">
        <f>G19</f>
        <v>54</v>
      </c>
      <c r="F34" s="15">
        <f>I19</f>
        <v>77</v>
      </c>
      <c r="G34" s="15">
        <f>K19</f>
        <v>100</v>
      </c>
    </row>
    <row r="35" spans="3:7" ht="19.5">
      <c r="C35" t="s">
        <v>75</v>
      </c>
      <c r="D35" s="156">
        <f>F14</f>
        <v>19.265043503637681</v>
      </c>
      <c r="E35" s="328">
        <f>H14</f>
        <v>41.527957456457791</v>
      </c>
      <c r="F35" s="328">
        <f>J14</f>
        <v>76.099999999999994</v>
      </c>
      <c r="G35" s="156">
        <f>L14</f>
        <v>92.78517364770255</v>
      </c>
    </row>
    <row r="36" spans="3:7" ht="19.5">
      <c r="C36" t="s">
        <v>76</v>
      </c>
      <c r="D36" s="156">
        <f>F15</f>
        <v>14.975682824956484</v>
      </c>
      <c r="E36" s="328">
        <f t="shared" ref="E36:E37" si="3">H15</f>
        <v>32.696729573074165</v>
      </c>
      <c r="F36" s="414">
        <f t="shared" ref="F36:F37" si="4">J15</f>
        <v>50.66</v>
      </c>
      <c r="G36" s="156">
        <f>L15</f>
        <v>78.038103519236117</v>
      </c>
    </row>
    <row r="37" spans="3:7" ht="19.5">
      <c r="C37" t="s">
        <v>4</v>
      </c>
      <c r="D37" s="156">
        <f>F16</f>
        <v>18.468458945157305</v>
      </c>
      <c r="E37" s="328">
        <f t="shared" si="3"/>
        <v>39.88789491770023</v>
      </c>
      <c r="F37" s="414">
        <f t="shared" si="4"/>
        <v>71.05</v>
      </c>
      <c r="G37" s="156">
        <f>L16</f>
        <v>90.04646985775328</v>
      </c>
    </row>
  </sheetData>
  <mergeCells count="40">
    <mergeCell ref="K22:L22"/>
    <mergeCell ref="A5:A6"/>
    <mergeCell ref="B5:B6"/>
    <mergeCell ref="D5:D6"/>
    <mergeCell ref="E5:H5"/>
    <mergeCell ref="I5:I6"/>
    <mergeCell ref="J5:J6"/>
    <mergeCell ref="A11:A13"/>
    <mergeCell ref="B22:D22"/>
    <mergeCell ref="E22:F22"/>
    <mergeCell ref="G22:H22"/>
    <mergeCell ref="I22:J22"/>
    <mergeCell ref="I12:J12"/>
    <mergeCell ref="K12:L12"/>
    <mergeCell ref="B21:D21"/>
    <mergeCell ref="E21:F21"/>
    <mergeCell ref="G21:H21"/>
    <mergeCell ref="I21:J21"/>
    <mergeCell ref="K21:L21"/>
    <mergeCell ref="B20:D20"/>
    <mergeCell ref="E20:F20"/>
    <mergeCell ref="G20:H20"/>
    <mergeCell ref="I20:J20"/>
    <mergeCell ref="K20:L20"/>
    <mergeCell ref="A1:L1"/>
    <mergeCell ref="A2:L2"/>
    <mergeCell ref="A3:L3"/>
    <mergeCell ref="A19:A21"/>
    <mergeCell ref="C5:C6"/>
    <mergeCell ref="C11:C13"/>
    <mergeCell ref="B19:D19"/>
    <mergeCell ref="E19:F19"/>
    <mergeCell ref="G19:H19"/>
    <mergeCell ref="I19:J19"/>
    <mergeCell ref="K19:L19"/>
    <mergeCell ref="B11:B13"/>
    <mergeCell ref="D11:D13"/>
    <mergeCell ref="E11:L11"/>
    <mergeCell ref="E12:F12"/>
    <mergeCell ref="G12:H12"/>
  </mergeCells>
  <pageMargins left="0.70866141732283472" right="0.39370078740157483" top="0.74803149606299213" bottom="0.74803149606299213" header="0.39370078740157483" footer="0.31496062992125984"/>
  <pageSetup paperSize="9" scale="94" orientation="landscape" useFirstPageNumber="1" r:id="rId1"/>
  <headerFooter>
    <oddHeader>&amp;R&amp;P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0"/>
  <sheetViews>
    <sheetView view="pageBreakPreview" zoomScaleSheetLayoutView="100" workbookViewId="0">
      <selection activeCell="A4" sqref="A4:M4"/>
    </sheetView>
  </sheetViews>
  <sheetFormatPr defaultRowHeight="21"/>
  <cols>
    <col min="1" max="1" width="9" style="14"/>
    <col min="2" max="2" width="7.5" style="14" customWidth="1"/>
    <col min="3" max="8" width="15.125" style="14" customWidth="1"/>
    <col min="9" max="9" width="14.375" style="14" bestFit="1" customWidth="1"/>
    <col min="10" max="11" width="9" style="14"/>
    <col min="12" max="12" width="12" style="14" bestFit="1" customWidth="1"/>
    <col min="13" max="13" width="11" style="14" customWidth="1"/>
    <col min="14" max="16384" width="9" style="14"/>
  </cols>
  <sheetData>
    <row r="1" spans="1:13">
      <c r="A1" s="481" t="s">
        <v>81</v>
      </c>
      <c r="B1" s="481"/>
      <c r="C1" s="481"/>
      <c r="D1" s="481"/>
      <c r="E1" s="481"/>
      <c r="F1" s="481"/>
      <c r="G1" s="481"/>
      <c r="H1" s="481"/>
      <c r="I1" s="481"/>
      <c r="J1" s="481"/>
      <c r="K1" s="481"/>
    </row>
    <row r="2" spans="1:13" ht="78" customHeight="1">
      <c r="A2" s="458" t="s">
        <v>486</v>
      </c>
      <c r="B2" s="458"/>
      <c r="C2" s="458"/>
      <c r="D2" s="458"/>
      <c r="E2" s="458"/>
      <c r="F2" s="458"/>
      <c r="G2" s="458"/>
      <c r="H2" s="458"/>
      <c r="I2" s="458"/>
      <c r="J2" s="119"/>
      <c r="K2" s="119"/>
      <c r="L2" s="119"/>
      <c r="M2" s="119"/>
    </row>
    <row r="3" spans="1:13" ht="21.75" customHeight="1">
      <c r="A3" s="458" t="s">
        <v>487</v>
      </c>
      <c r="B3" s="458"/>
      <c r="C3" s="458"/>
      <c r="D3" s="458"/>
      <c r="E3" s="458"/>
      <c r="F3" s="458"/>
      <c r="G3" s="458"/>
      <c r="H3" s="458"/>
      <c r="I3" s="458"/>
      <c r="J3" s="119"/>
      <c r="K3" s="119"/>
      <c r="L3" s="119"/>
      <c r="M3" s="119"/>
    </row>
    <row r="4" spans="1:13">
      <c r="A4" s="482" t="s">
        <v>408</v>
      </c>
      <c r="B4" s="482"/>
      <c r="C4" s="482"/>
      <c r="D4" s="482"/>
      <c r="E4" s="482"/>
      <c r="F4" s="482"/>
      <c r="G4" s="482"/>
      <c r="H4" s="482"/>
      <c r="I4" s="482"/>
      <c r="J4" s="482"/>
      <c r="K4" s="482"/>
      <c r="L4" s="482"/>
      <c r="M4" s="482"/>
    </row>
    <row r="5" spans="1:13">
      <c r="A5" s="484" t="s">
        <v>409</v>
      </c>
      <c r="B5" s="484"/>
      <c r="C5" s="484"/>
      <c r="D5" s="484"/>
      <c r="E5" s="484"/>
      <c r="F5" s="484"/>
      <c r="G5" s="484"/>
      <c r="H5" s="484"/>
      <c r="I5" s="484"/>
      <c r="J5" s="484"/>
      <c r="K5" s="13"/>
    </row>
    <row r="6" spans="1:13">
      <c r="A6" s="13"/>
      <c r="B6" s="85" t="s">
        <v>248</v>
      </c>
      <c r="C6" s="11"/>
      <c r="D6" s="11"/>
      <c r="E6" s="11"/>
      <c r="F6" s="11"/>
      <c r="G6" s="11"/>
      <c r="H6" s="11"/>
      <c r="I6" s="11"/>
      <c r="J6" s="13"/>
      <c r="K6" s="13"/>
    </row>
    <row r="7" spans="1:13">
      <c r="A7" s="13"/>
      <c r="B7" s="85"/>
      <c r="C7" s="11" t="s">
        <v>406</v>
      </c>
      <c r="D7" s="11"/>
      <c r="E7" s="11"/>
      <c r="F7" s="11"/>
      <c r="G7" s="11"/>
      <c r="H7" s="11"/>
      <c r="I7" s="11"/>
      <c r="J7" s="13"/>
      <c r="K7" s="13"/>
    </row>
    <row r="8" spans="1:13">
      <c r="A8" s="13"/>
      <c r="B8" s="85"/>
      <c r="C8" s="11" t="s">
        <v>407</v>
      </c>
      <c r="D8" s="11"/>
      <c r="E8" s="11"/>
      <c r="F8" s="11"/>
      <c r="G8" s="11"/>
      <c r="H8" s="11"/>
      <c r="I8" s="11"/>
      <c r="J8" s="13"/>
      <c r="K8" s="13"/>
    </row>
    <row r="9" spans="1:13">
      <c r="A9" s="13"/>
      <c r="B9" s="85"/>
      <c r="C9" s="11" t="s">
        <v>405</v>
      </c>
      <c r="D9" s="11"/>
      <c r="E9" s="11"/>
      <c r="F9" s="11"/>
      <c r="G9" s="11"/>
      <c r="H9" s="11"/>
      <c r="I9" s="11"/>
      <c r="J9" s="13"/>
      <c r="K9" s="13"/>
    </row>
    <row r="10" spans="1:13">
      <c r="A10" s="13"/>
      <c r="B10" s="85"/>
      <c r="C10" s="11" t="s">
        <v>249</v>
      </c>
      <c r="D10" s="11"/>
      <c r="E10" s="11"/>
      <c r="F10" s="11"/>
      <c r="G10" s="11"/>
      <c r="H10" s="11"/>
      <c r="I10" s="11"/>
      <c r="J10" s="13"/>
      <c r="K10" s="13"/>
    </row>
    <row r="11" spans="1:13">
      <c r="A11" s="13"/>
      <c r="B11" s="85" t="s">
        <v>250</v>
      </c>
      <c r="C11" s="11"/>
      <c r="D11" s="128"/>
      <c r="E11" s="11"/>
      <c r="F11" s="11"/>
      <c r="G11" s="11"/>
      <c r="H11" s="11"/>
      <c r="I11" s="11"/>
      <c r="J11" s="13"/>
      <c r="K11" s="13"/>
    </row>
    <row r="12" spans="1:13">
      <c r="A12" s="13"/>
      <c r="B12" s="122"/>
      <c r="C12" s="123"/>
      <c r="D12" s="123"/>
      <c r="E12" s="129" t="s">
        <v>218</v>
      </c>
      <c r="F12" s="123"/>
      <c r="G12" s="124"/>
      <c r="H12" s="117" t="s">
        <v>261</v>
      </c>
      <c r="J12" s="13"/>
      <c r="K12" s="13"/>
    </row>
    <row r="13" spans="1:13">
      <c r="A13" s="13"/>
      <c r="B13" s="117" t="s">
        <v>219</v>
      </c>
      <c r="C13" s="117" t="s">
        <v>220</v>
      </c>
      <c r="D13" s="117" t="s">
        <v>221</v>
      </c>
      <c r="E13" s="117" t="s">
        <v>247</v>
      </c>
      <c r="F13" s="117" t="s">
        <v>251</v>
      </c>
      <c r="G13" s="117" t="s">
        <v>252</v>
      </c>
      <c r="H13" s="117" t="s">
        <v>222</v>
      </c>
      <c r="J13" s="13"/>
      <c r="K13" s="13"/>
    </row>
    <row r="14" spans="1:13">
      <c r="A14" s="13"/>
      <c r="B14" s="126" t="s">
        <v>223</v>
      </c>
      <c r="C14" s="127">
        <v>30</v>
      </c>
      <c r="D14" s="135">
        <v>3.65</v>
      </c>
      <c r="E14" s="135">
        <f t="shared" ref="E14:E34" si="0">D14*326490000/100</f>
        <v>11916885</v>
      </c>
      <c r="F14" s="135">
        <f>E14</f>
        <v>11916885</v>
      </c>
      <c r="G14" s="138" t="s">
        <v>297</v>
      </c>
      <c r="H14" s="215">
        <v>11916885</v>
      </c>
      <c r="J14" s="13"/>
      <c r="K14" s="13"/>
    </row>
    <row r="15" spans="1:13">
      <c r="A15" s="13"/>
      <c r="B15" s="126" t="s">
        <v>224</v>
      </c>
      <c r="C15" s="127">
        <v>60</v>
      </c>
      <c r="D15" s="135">
        <v>1</v>
      </c>
      <c r="E15" s="135">
        <f t="shared" si="0"/>
        <v>3264900</v>
      </c>
      <c r="F15" s="135">
        <f t="shared" ref="F15:F34" si="1">E15+F14</f>
        <v>15181785</v>
      </c>
      <c r="G15" s="138" t="s">
        <v>298</v>
      </c>
      <c r="H15" s="134">
        <f t="shared" ref="H15:H47" si="2">E15</f>
        <v>3264900</v>
      </c>
      <c r="J15" s="13"/>
      <c r="K15" s="13"/>
    </row>
    <row r="16" spans="1:13">
      <c r="A16" s="13"/>
      <c r="B16" s="115" t="s">
        <v>225</v>
      </c>
      <c r="C16" s="116">
        <f t="shared" ref="C16:C34" si="3">C15+30</f>
        <v>90</v>
      </c>
      <c r="D16" s="132">
        <v>1.4</v>
      </c>
      <c r="E16" s="132">
        <f t="shared" si="0"/>
        <v>4570860</v>
      </c>
      <c r="F16" s="132">
        <f t="shared" si="1"/>
        <v>19752645</v>
      </c>
      <c r="G16" s="139" t="s">
        <v>299</v>
      </c>
      <c r="H16" s="134">
        <f t="shared" si="2"/>
        <v>4570860</v>
      </c>
      <c r="J16" s="13"/>
      <c r="K16" s="13"/>
    </row>
    <row r="17" spans="1:12">
      <c r="A17" s="13"/>
      <c r="B17" s="115" t="s">
        <v>226</v>
      </c>
      <c r="C17" s="116">
        <f t="shared" si="3"/>
        <v>120</v>
      </c>
      <c r="D17" s="132">
        <v>1.35</v>
      </c>
      <c r="E17" s="132">
        <f t="shared" si="0"/>
        <v>4407615</v>
      </c>
      <c r="F17" s="132">
        <f t="shared" si="1"/>
        <v>24160260</v>
      </c>
      <c r="G17" s="139" t="s">
        <v>300</v>
      </c>
      <c r="H17" s="135">
        <f t="shared" si="2"/>
        <v>4407615</v>
      </c>
      <c r="J17" s="13"/>
      <c r="K17" s="13"/>
    </row>
    <row r="18" spans="1:12">
      <c r="A18" s="13"/>
      <c r="B18" s="115" t="s">
        <v>227</v>
      </c>
      <c r="C18" s="116">
        <f t="shared" si="3"/>
        <v>150</v>
      </c>
      <c r="D18" s="132">
        <v>3.35</v>
      </c>
      <c r="E18" s="132">
        <f t="shared" si="0"/>
        <v>10937415</v>
      </c>
      <c r="F18" s="132">
        <f t="shared" si="1"/>
        <v>35097675</v>
      </c>
      <c r="G18" s="139" t="s">
        <v>301</v>
      </c>
      <c r="H18" s="135">
        <f t="shared" si="2"/>
        <v>10937415</v>
      </c>
      <c r="J18" s="13"/>
      <c r="K18" s="13"/>
    </row>
    <row r="19" spans="1:12">
      <c r="A19" s="13"/>
      <c r="B19" s="126" t="s">
        <v>228</v>
      </c>
      <c r="C19" s="127">
        <f t="shared" si="3"/>
        <v>180</v>
      </c>
      <c r="D19" s="135">
        <v>3.2</v>
      </c>
      <c r="E19" s="135">
        <f t="shared" si="0"/>
        <v>10447680</v>
      </c>
      <c r="F19" s="135">
        <f t="shared" si="1"/>
        <v>45545355</v>
      </c>
      <c r="G19" s="138" t="s">
        <v>302</v>
      </c>
      <c r="H19" s="135">
        <f t="shared" si="2"/>
        <v>10447680</v>
      </c>
      <c r="J19" s="13"/>
      <c r="K19" s="13"/>
    </row>
    <row r="20" spans="1:12">
      <c r="A20" s="13"/>
      <c r="B20" s="113" t="s">
        <v>229</v>
      </c>
      <c r="C20" s="114">
        <f t="shared" si="3"/>
        <v>210</v>
      </c>
      <c r="D20" s="131">
        <v>3.1</v>
      </c>
      <c r="E20" s="131">
        <f t="shared" si="0"/>
        <v>10121190</v>
      </c>
      <c r="F20" s="131">
        <f t="shared" si="1"/>
        <v>55666545</v>
      </c>
      <c r="G20" s="159" t="s">
        <v>303</v>
      </c>
      <c r="H20" s="131">
        <f t="shared" si="2"/>
        <v>10121190</v>
      </c>
      <c r="J20" s="13"/>
      <c r="K20" s="13"/>
    </row>
    <row r="21" spans="1:12">
      <c r="A21" s="13"/>
      <c r="B21" s="113" t="s">
        <v>230</v>
      </c>
      <c r="C21" s="114">
        <f>C20+30</f>
        <v>240</v>
      </c>
      <c r="D21" s="131">
        <v>3.75</v>
      </c>
      <c r="E21" s="131">
        <f t="shared" si="0"/>
        <v>12243375</v>
      </c>
      <c r="F21" s="131">
        <f>E21+F20</f>
        <v>67909920</v>
      </c>
      <c r="G21" s="159" t="s">
        <v>304</v>
      </c>
      <c r="H21" s="131">
        <f t="shared" si="2"/>
        <v>12243375</v>
      </c>
      <c r="J21" s="13"/>
      <c r="K21" s="13"/>
    </row>
    <row r="22" spans="1:12">
      <c r="A22" s="13"/>
      <c r="B22" s="113" t="s">
        <v>231</v>
      </c>
      <c r="C22" s="114">
        <f t="shared" si="3"/>
        <v>270</v>
      </c>
      <c r="D22" s="131">
        <v>4.1500000000000004</v>
      </c>
      <c r="E22" s="131">
        <f t="shared" si="0"/>
        <v>13549335</v>
      </c>
      <c r="F22" s="131">
        <f t="shared" si="1"/>
        <v>81459255</v>
      </c>
      <c r="G22" s="159" t="s">
        <v>305</v>
      </c>
      <c r="H22" s="131">
        <f t="shared" si="2"/>
        <v>13549335</v>
      </c>
      <c r="J22" s="13"/>
      <c r="K22" s="13"/>
    </row>
    <row r="23" spans="1:12">
      <c r="A23" s="13"/>
      <c r="B23" s="122"/>
      <c r="C23" s="123"/>
      <c r="D23" s="123"/>
      <c r="E23" s="129" t="s">
        <v>218</v>
      </c>
      <c r="F23" s="123"/>
      <c r="G23" s="124"/>
      <c r="H23" s="117" t="s">
        <v>261</v>
      </c>
      <c r="J23" s="13"/>
      <c r="K23" s="13"/>
    </row>
    <row r="24" spans="1:12">
      <c r="A24" s="13"/>
      <c r="B24" s="117" t="s">
        <v>219</v>
      </c>
      <c r="C24" s="117" t="s">
        <v>220</v>
      </c>
      <c r="D24" s="117" t="s">
        <v>221</v>
      </c>
      <c r="E24" s="117" t="s">
        <v>247</v>
      </c>
      <c r="F24" s="117" t="s">
        <v>251</v>
      </c>
      <c r="G24" s="117" t="s">
        <v>252</v>
      </c>
      <c r="H24" s="117" t="s">
        <v>222</v>
      </c>
      <c r="J24" s="13"/>
      <c r="K24" s="13"/>
    </row>
    <row r="25" spans="1:12">
      <c r="A25" s="13"/>
      <c r="B25" s="113" t="s">
        <v>232</v>
      </c>
      <c r="C25" s="114">
        <f>C22+30</f>
        <v>300</v>
      </c>
      <c r="D25" s="131">
        <v>2.2000000000000002</v>
      </c>
      <c r="E25" s="131">
        <f t="shared" si="0"/>
        <v>7182780</v>
      </c>
      <c r="F25" s="131">
        <f>E25+F22</f>
        <v>88642035</v>
      </c>
      <c r="G25" s="159" t="s">
        <v>306</v>
      </c>
      <c r="H25" s="131">
        <f t="shared" si="2"/>
        <v>7182780</v>
      </c>
      <c r="J25" s="13"/>
      <c r="K25" s="13"/>
    </row>
    <row r="26" spans="1:12">
      <c r="A26" s="13"/>
      <c r="B26" s="113" t="s">
        <v>233</v>
      </c>
      <c r="C26" s="114">
        <f t="shared" si="3"/>
        <v>330</v>
      </c>
      <c r="D26" s="131">
        <v>2.35</v>
      </c>
      <c r="E26" s="131">
        <f t="shared" si="0"/>
        <v>7672515</v>
      </c>
      <c r="F26" s="131">
        <f t="shared" si="1"/>
        <v>96314550</v>
      </c>
      <c r="G26" s="159" t="s">
        <v>307</v>
      </c>
      <c r="H26" s="131">
        <f t="shared" si="2"/>
        <v>7672515</v>
      </c>
      <c r="J26" s="13"/>
      <c r="K26" s="13"/>
    </row>
    <row r="27" spans="1:12">
      <c r="A27" s="13"/>
      <c r="B27" s="113" t="s">
        <v>234</v>
      </c>
      <c r="C27" s="114">
        <f t="shared" si="3"/>
        <v>360</v>
      </c>
      <c r="D27" s="131">
        <v>2.85</v>
      </c>
      <c r="E27" s="131">
        <f t="shared" si="0"/>
        <v>9304965</v>
      </c>
      <c r="F27" s="131">
        <f t="shared" si="1"/>
        <v>105619515</v>
      </c>
      <c r="G27" s="159" t="s">
        <v>308</v>
      </c>
      <c r="H27" s="131">
        <f t="shared" si="2"/>
        <v>9304965</v>
      </c>
      <c r="J27" s="13"/>
      <c r="K27" s="13"/>
    </row>
    <row r="28" spans="1:12">
      <c r="A28" s="13"/>
      <c r="B28" s="113" t="s">
        <v>235</v>
      </c>
      <c r="C28" s="114">
        <f t="shared" si="3"/>
        <v>390</v>
      </c>
      <c r="D28" s="131">
        <v>2.85</v>
      </c>
      <c r="E28" s="131">
        <f t="shared" si="0"/>
        <v>9304965</v>
      </c>
      <c r="F28" s="131">
        <f t="shared" si="1"/>
        <v>114924480</v>
      </c>
      <c r="G28" s="159" t="s">
        <v>309</v>
      </c>
      <c r="H28" s="131">
        <f t="shared" si="2"/>
        <v>9304965</v>
      </c>
      <c r="J28" s="13"/>
      <c r="K28" s="13"/>
    </row>
    <row r="29" spans="1:12">
      <c r="A29" s="13"/>
      <c r="B29" s="113" t="s">
        <v>236</v>
      </c>
      <c r="C29" s="114">
        <f t="shared" si="3"/>
        <v>420</v>
      </c>
      <c r="D29" s="131">
        <v>2.5</v>
      </c>
      <c r="E29" s="131">
        <f t="shared" si="0"/>
        <v>8162250</v>
      </c>
      <c r="F29" s="131">
        <f t="shared" si="1"/>
        <v>123086730</v>
      </c>
      <c r="G29" s="159" t="s">
        <v>310</v>
      </c>
      <c r="H29" s="131">
        <f t="shared" si="2"/>
        <v>8162250</v>
      </c>
      <c r="J29" s="13"/>
      <c r="K29" s="13"/>
    </row>
    <row r="30" spans="1:12">
      <c r="A30" s="13"/>
      <c r="B30" s="113" t="s">
        <v>237</v>
      </c>
      <c r="C30" s="114">
        <f t="shared" si="3"/>
        <v>450</v>
      </c>
      <c r="D30" s="131">
        <v>2.75</v>
      </c>
      <c r="E30" s="131">
        <f t="shared" si="0"/>
        <v>8978475</v>
      </c>
      <c r="F30" s="131">
        <f>E30+F29</f>
        <v>132065205</v>
      </c>
      <c r="G30" s="137" t="s">
        <v>311</v>
      </c>
      <c r="H30" s="131">
        <f t="shared" si="2"/>
        <v>8978475</v>
      </c>
      <c r="J30" s="13"/>
      <c r="K30" s="13"/>
      <c r="L30" s="258">
        <f>SUM(H28:H30)</f>
        <v>26445690</v>
      </c>
    </row>
    <row r="31" spans="1:12">
      <c r="A31" s="13"/>
      <c r="B31" s="113" t="s">
        <v>238</v>
      </c>
      <c r="C31" s="114">
        <f t="shared" si="3"/>
        <v>480</v>
      </c>
      <c r="D31" s="131">
        <v>3.1</v>
      </c>
      <c r="E31" s="131">
        <f t="shared" si="0"/>
        <v>10121190</v>
      </c>
      <c r="F31" s="131">
        <f t="shared" si="1"/>
        <v>142186395</v>
      </c>
      <c r="G31" s="137" t="s">
        <v>312</v>
      </c>
      <c r="H31" s="131">
        <f t="shared" si="2"/>
        <v>10121190</v>
      </c>
      <c r="J31" s="13"/>
      <c r="K31" s="13"/>
    </row>
    <row r="32" spans="1:12">
      <c r="A32" s="13"/>
      <c r="B32" s="113" t="s">
        <v>239</v>
      </c>
      <c r="C32" s="114">
        <f t="shared" si="3"/>
        <v>510</v>
      </c>
      <c r="D32" s="131">
        <v>3.9</v>
      </c>
      <c r="E32" s="131">
        <f t="shared" si="0"/>
        <v>12733110</v>
      </c>
      <c r="F32" s="131">
        <f t="shared" si="1"/>
        <v>154919505</v>
      </c>
      <c r="G32" s="137" t="s">
        <v>313</v>
      </c>
      <c r="H32" s="131">
        <f t="shared" si="2"/>
        <v>12733110</v>
      </c>
      <c r="J32" s="13"/>
      <c r="K32" s="13"/>
    </row>
    <row r="33" spans="1:11">
      <c r="A33" s="13"/>
      <c r="B33" s="113" t="s">
        <v>240</v>
      </c>
      <c r="C33" s="114">
        <f t="shared" si="3"/>
        <v>540</v>
      </c>
      <c r="D33" s="131">
        <v>3.65</v>
      </c>
      <c r="E33" s="131">
        <f t="shared" si="0"/>
        <v>11916885</v>
      </c>
      <c r="F33" s="131">
        <f t="shared" si="1"/>
        <v>166836390</v>
      </c>
      <c r="G33" s="137" t="s">
        <v>314</v>
      </c>
      <c r="H33" s="131">
        <f t="shared" si="2"/>
        <v>11916885</v>
      </c>
      <c r="J33" s="13"/>
      <c r="K33" s="13"/>
    </row>
    <row r="34" spans="1:11">
      <c r="A34" s="13"/>
      <c r="B34" s="113" t="s">
        <v>241</v>
      </c>
      <c r="C34" s="114">
        <f t="shared" si="3"/>
        <v>570</v>
      </c>
      <c r="D34" s="131">
        <v>3.25</v>
      </c>
      <c r="E34" s="131">
        <f t="shared" si="0"/>
        <v>10610925</v>
      </c>
      <c r="F34" s="131">
        <f t="shared" si="1"/>
        <v>177447315</v>
      </c>
      <c r="G34" s="137" t="s">
        <v>315</v>
      </c>
      <c r="H34" s="131">
        <f t="shared" si="2"/>
        <v>10610925</v>
      </c>
      <c r="J34" s="13"/>
      <c r="K34" s="13"/>
    </row>
    <row r="35" spans="1:11">
      <c r="A35" s="13"/>
      <c r="B35" s="126" t="s">
        <v>242</v>
      </c>
      <c r="C35" s="127">
        <f>C34+30</f>
        <v>600</v>
      </c>
      <c r="D35" s="135">
        <v>2.5</v>
      </c>
      <c r="E35" s="135">
        <f t="shared" ref="E35:E47" si="4">D35*326490000/100</f>
        <v>8162250</v>
      </c>
      <c r="F35" s="135">
        <f>E35+F34</f>
        <v>185609565</v>
      </c>
      <c r="G35" s="136" t="s">
        <v>316</v>
      </c>
      <c r="H35" s="131">
        <f t="shared" si="2"/>
        <v>8162250</v>
      </c>
      <c r="J35" s="13"/>
      <c r="K35" s="13"/>
    </row>
    <row r="36" spans="1:11">
      <c r="A36" s="13"/>
      <c r="B36" s="126" t="s">
        <v>243</v>
      </c>
      <c r="C36" s="127">
        <f t="shared" ref="C36:C47" si="5">C35+30</f>
        <v>630</v>
      </c>
      <c r="D36" s="135">
        <v>0.4</v>
      </c>
      <c r="E36" s="135">
        <f t="shared" si="4"/>
        <v>1305960</v>
      </c>
      <c r="F36" s="135">
        <f t="shared" ref="F36:F47" si="6">E36+F35</f>
        <v>186915525</v>
      </c>
      <c r="G36" s="136" t="s">
        <v>317</v>
      </c>
      <c r="H36" s="131">
        <f t="shared" si="2"/>
        <v>1305960</v>
      </c>
      <c r="J36" s="13"/>
      <c r="K36" s="13"/>
    </row>
    <row r="37" spans="1:11">
      <c r="A37" s="13"/>
      <c r="B37" s="126" t="s">
        <v>244</v>
      </c>
      <c r="C37" s="127">
        <f t="shared" si="5"/>
        <v>660</v>
      </c>
      <c r="D37" s="135">
        <v>0.75</v>
      </c>
      <c r="E37" s="135">
        <f t="shared" si="4"/>
        <v>2448675</v>
      </c>
      <c r="F37" s="135">
        <f t="shared" si="6"/>
        <v>189364200</v>
      </c>
      <c r="G37" s="136" t="s">
        <v>318</v>
      </c>
      <c r="H37" s="131">
        <f t="shared" si="2"/>
        <v>2448675</v>
      </c>
      <c r="J37" s="13"/>
      <c r="K37" s="13"/>
    </row>
    <row r="38" spans="1:11">
      <c r="A38" s="13"/>
      <c r="B38" s="126" t="s">
        <v>245</v>
      </c>
      <c r="C38" s="127">
        <f t="shared" si="5"/>
        <v>690</v>
      </c>
      <c r="D38" s="135">
        <v>1.65</v>
      </c>
      <c r="E38" s="135">
        <f t="shared" si="4"/>
        <v>5387085</v>
      </c>
      <c r="F38" s="135">
        <f t="shared" si="6"/>
        <v>194751285</v>
      </c>
      <c r="G38" s="136" t="s">
        <v>319</v>
      </c>
      <c r="H38" s="131">
        <f t="shared" si="2"/>
        <v>5387085</v>
      </c>
      <c r="J38" s="13"/>
      <c r="K38" s="13"/>
    </row>
    <row r="39" spans="1:11">
      <c r="A39" s="13"/>
      <c r="B39" s="126" t="s">
        <v>246</v>
      </c>
      <c r="C39" s="127">
        <f t="shared" si="5"/>
        <v>720</v>
      </c>
      <c r="D39" s="135">
        <v>1.95</v>
      </c>
      <c r="E39" s="135">
        <f t="shared" si="4"/>
        <v>6366555</v>
      </c>
      <c r="F39" s="135">
        <f t="shared" si="6"/>
        <v>201117840</v>
      </c>
      <c r="G39" s="136" t="s">
        <v>320</v>
      </c>
      <c r="H39" s="131">
        <f t="shared" si="2"/>
        <v>6366555</v>
      </c>
      <c r="J39" s="13"/>
      <c r="K39" s="13"/>
    </row>
    <row r="40" spans="1:11">
      <c r="A40" s="13"/>
      <c r="B40" s="126" t="s">
        <v>253</v>
      </c>
      <c r="C40" s="127">
        <f t="shared" si="5"/>
        <v>750</v>
      </c>
      <c r="D40" s="135">
        <v>0.85</v>
      </c>
      <c r="E40" s="135">
        <f t="shared" si="4"/>
        <v>2775165</v>
      </c>
      <c r="F40" s="135">
        <f t="shared" si="6"/>
        <v>203893005</v>
      </c>
      <c r="G40" s="136" t="s">
        <v>321</v>
      </c>
      <c r="H40" s="131">
        <f t="shared" si="2"/>
        <v>2775165</v>
      </c>
      <c r="J40" s="13"/>
      <c r="K40" s="13"/>
    </row>
    <row r="41" spans="1:11">
      <c r="A41" s="13"/>
      <c r="B41" s="323" t="s">
        <v>254</v>
      </c>
      <c r="C41" s="332">
        <f t="shared" si="5"/>
        <v>780</v>
      </c>
      <c r="D41" s="199">
        <v>1.45</v>
      </c>
      <c r="E41" s="199">
        <f t="shared" si="4"/>
        <v>4734105</v>
      </c>
      <c r="F41" s="199">
        <f t="shared" si="6"/>
        <v>208627110</v>
      </c>
      <c r="G41" s="333" t="s">
        <v>322</v>
      </c>
      <c r="H41" s="131">
        <f t="shared" si="2"/>
        <v>4734105</v>
      </c>
      <c r="J41" s="13"/>
      <c r="K41" s="13"/>
    </row>
    <row r="42" spans="1:11">
      <c r="A42" s="13"/>
      <c r="B42" s="126" t="s">
        <v>255</v>
      </c>
      <c r="C42" s="127">
        <f t="shared" si="5"/>
        <v>810</v>
      </c>
      <c r="D42" s="135">
        <v>0.5</v>
      </c>
      <c r="E42" s="135">
        <f t="shared" si="4"/>
        <v>1632450</v>
      </c>
      <c r="F42" s="135">
        <f t="shared" si="6"/>
        <v>210259560</v>
      </c>
      <c r="G42" s="136" t="s">
        <v>323</v>
      </c>
      <c r="H42" s="131">
        <f t="shared" si="2"/>
        <v>1632450</v>
      </c>
      <c r="J42" s="13"/>
      <c r="K42" s="13"/>
    </row>
    <row r="43" spans="1:11">
      <c r="A43" s="13"/>
      <c r="B43" s="126" t="s">
        <v>256</v>
      </c>
      <c r="C43" s="127">
        <f t="shared" si="5"/>
        <v>840</v>
      </c>
      <c r="D43" s="135">
        <v>0.65</v>
      </c>
      <c r="E43" s="135">
        <f t="shared" si="4"/>
        <v>2122185</v>
      </c>
      <c r="F43" s="135">
        <f t="shared" si="6"/>
        <v>212381745</v>
      </c>
      <c r="G43" s="136" t="s">
        <v>324</v>
      </c>
      <c r="H43" s="131">
        <f t="shared" si="2"/>
        <v>2122185</v>
      </c>
      <c r="J43" s="13"/>
      <c r="K43" s="13"/>
    </row>
    <row r="44" spans="1:11">
      <c r="A44" s="13"/>
      <c r="B44" s="126" t="s">
        <v>257</v>
      </c>
      <c r="C44" s="127">
        <f t="shared" si="5"/>
        <v>870</v>
      </c>
      <c r="D44" s="135">
        <v>7.1</v>
      </c>
      <c r="E44" s="135">
        <f t="shared" si="4"/>
        <v>23180790</v>
      </c>
      <c r="F44" s="135">
        <f t="shared" si="6"/>
        <v>235562535</v>
      </c>
      <c r="G44" s="136" t="s">
        <v>325</v>
      </c>
      <c r="H44" s="131">
        <f t="shared" si="2"/>
        <v>23180790</v>
      </c>
      <c r="J44" s="13"/>
      <c r="K44" s="13"/>
    </row>
    <row r="45" spans="1:11">
      <c r="A45" s="13"/>
      <c r="B45" s="126" t="s">
        <v>258</v>
      </c>
      <c r="C45" s="127">
        <f t="shared" si="5"/>
        <v>900</v>
      </c>
      <c r="D45" s="135">
        <v>6.95</v>
      </c>
      <c r="E45" s="135">
        <f t="shared" si="4"/>
        <v>22691055</v>
      </c>
      <c r="F45" s="135">
        <f t="shared" si="6"/>
        <v>258253590</v>
      </c>
      <c r="G45" s="136" t="s">
        <v>326</v>
      </c>
      <c r="H45" s="131">
        <f t="shared" si="2"/>
        <v>22691055</v>
      </c>
      <c r="J45" s="13"/>
      <c r="K45" s="13"/>
    </row>
    <row r="46" spans="1:11">
      <c r="A46" s="13"/>
      <c r="B46" s="113" t="s">
        <v>259</v>
      </c>
      <c r="C46" s="114">
        <f t="shared" si="5"/>
        <v>930</v>
      </c>
      <c r="D46" s="131">
        <v>10.8</v>
      </c>
      <c r="E46" s="131">
        <f t="shared" si="4"/>
        <v>35260920</v>
      </c>
      <c r="F46" s="131">
        <f t="shared" si="6"/>
        <v>293514510</v>
      </c>
      <c r="G46" s="137" t="s">
        <v>327</v>
      </c>
      <c r="H46" s="131">
        <f t="shared" si="2"/>
        <v>35260920</v>
      </c>
      <c r="J46" s="13"/>
      <c r="K46" s="13"/>
    </row>
    <row r="47" spans="1:11">
      <c r="A47" s="13"/>
      <c r="B47" s="113" t="s">
        <v>260</v>
      </c>
      <c r="C47" s="114">
        <f t="shared" si="5"/>
        <v>960</v>
      </c>
      <c r="D47" s="131">
        <v>10.1</v>
      </c>
      <c r="E47" s="131">
        <f t="shared" si="4"/>
        <v>32975490</v>
      </c>
      <c r="F47" s="431">
        <f t="shared" si="6"/>
        <v>326490000</v>
      </c>
      <c r="G47" s="137" t="s">
        <v>328</v>
      </c>
      <c r="H47" s="131">
        <f t="shared" si="2"/>
        <v>32975490</v>
      </c>
      <c r="J47" s="13"/>
      <c r="K47" s="13"/>
    </row>
    <row r="48" spans="1:11">
      <c r="A48" s="13"/>
      <c r="B48" s="485" t="s">
        <v>4</v>
      </c>
      <c r="C48" s="486"/>
      <c r="D48" s="133">
        <f>SUM(D14:D47)</f>
        <v>100</v>
      </c>
      <c r="E48" s="133">
        <f>SUM(E14:E47)</f>
        <v>326490000</v>
      </c>
      <c r="F48" s="133"/>
      <c r="G48" s="118"/>
      <c r="H48" s="334">
        <f>SUM(H14:H47)</f>
        <v>326490000</v>
      </c>
      <c r="I48" s="432"/>
      <c r="J48" s="13"/>
      <c r="K48" s="13"/>
    </row>
    <row r="49" spans="1:11">
      <c r="A49" s="13"/>
      <c r="B49" s="331"/>
      <c r="C49" s="282"/>
      <c r="D49" s="279"/>
      <c r="E49" s="279"/>
      <c r="F49" s="279"/>
      <c r="G49" s="329"/>
      <c r="H49" s="330"/>
      <c r="J49" s="13"/>
      <c r="K49" s="13"/>
    </row>
    <row r="50" spans="1:11" ht="63" customHeight="1">
      <c r="B50" s="483" t="s">
        <v>551</v>
      </c>
      <c r="C50" s="483"/>
      <c r="D50" s="483"/>
      <c r="E50" s="483"/>
      <c r="F50" s="483"/>
      <c r="G50" s="483"/>
      <c r="H50" s="483"/>
      <c r="I50" s="483"/>
      <c r="J50" s="13"/>
      <c r="K50" s="13"/>
    </row>
    <row r="51" spans="1:11">
      <c r="J51" s="13"/>
      <c r="K51" s="13"/>
    </row>
    <row r="52" spans="1:11" ht="64.5" customHeight="1">
      <c r="A52" s="13"/>
      <c r="B52" s="489" t="s">
        <v>430</v>
      </c>
      <c r="C52" s="489"/>
      <c r="D52" s="489"/>
      <c r="E52" s="489"/>
      <c r="F52" s="489"/>
      <c r="G52" s="489"/>
      <c r="H52" s="489"/>
      <c r="I52" s="489"/>
      <c r="J52" s="13"/>
      <c r="K52" s="13"/>
    </row>
    <row r="53" spans="1:11">
      <c r="B53" s="122"/>
      <c r="C53" s="123"/>
      <c r="D53" s="123"/>
      <c r="E53" s="129" t="s">
        <v>218</v>
      </c>
      <c r="F53" s="123"/>
      <c r="G53" s="124"/>
      <c r="H53" s="117" t="s">
        <v>261</v>
      </c>
      <c r="K53" s="13"/>
    </row>
    <row r="54" spans="1:11">
      <c r="B54" s="117" t="s">
        <v>219</v>
      </c>
      <c r="C54" s="117" t="s">
        <v>220</v>
      </c>
      <c r="D54" s="117" t="s">
        <v>221</v>
      </c>
      <c r="E54" s="117" t="s">
        <v>247</v>
      </c>
      <c r="F54" s="117" t="s">
        <v>251</v>
      </c>
      <c r="G54" s="117" t="s">
        <v>252</v>
      </c>
      <c r="H54" s="117" t="s">
        <v>222</v>
      </c>
      <c r="K54" s="13"/>
    </row>
    <row r="55" spans="1:11">
      <c r="B55" s="126" t="s">
        <v>223</v>
      </c>
      <c r="C55" s="127">
        <v>20</v>
      </c>
      <c r="D55" s="135">
        <v>22</v>
      </c>
      <c r="E55" s="135">
        <v>218240</v>
      </c>
      <c r="F55" s="135">
        <f>E55</f>
        <v>218240</v>
      </c>
      <c r="G55" s="138">
        <v>22626</v>
      </c>
      <c r="H55" s="215">
        <f>E55</f>
        <v>218240</v>
      </c>
      <c r="K55" s="13"/>
    </row>
    <row r="56" spans="1:11">
      <c r="B56" s="126" t="s">
        <v>224</v>
      </c>
      <c r="C56" s="127">
        <v>40</v>
      </c>
      <c r="D56" s="135">
        <v>22</v>
      </c>
      <c r="E56" s="135">
        <v>218240</v>
      </c>
      <c r="F56" s="135">
        <f t="shared" ref="F56:F58" si="7">E56+F55</f>
        <v>436480</v>
      </c>
      <c r="G56" s="138">
        <v>22646</v>
      </c>
      <c r="H56" s="215">
        <f t="shared" ref="H56:H58" si="8">E56</f>
        <v>218240</v>
      </c>
      <c r="K56" s="13"/>
    </row>
    <row r="57" spans="1:11">
      <c r="B57" s="115" t="s">
        <v>225</v>
      </c>
      <c r="C57" s="116">
        <v>80</v>
      </c>
      <c r="D57" s="132">
        <v>26</v>
      </c>
      <c r="E57" s="132">
        <v>257920</v>
      </c>
      <c r="F57" s="132">
        <f t="shared" si="7"/>
        <v>694400</v>
      </c>
      <c r="G57" s="159">
        <v>22686</v>
      </c>
      <c r="H57" s="320">
        <f t="shared" si="8"/>
        <v>257920</v>
      </c>
      <c r="K57" s="13"/>
    </row>
    <row r="58" spans="1:11">
      <c r="B58" s="113" t="s">
        <v>226</v>
      </c>
      <c r="C58" s="321">
        <v>100</v>
      </c>
      <c r="D58" s="322">
        <v>30</v>
      </c>
      <c r="E58" s="322">
        <v>297600</v>
      </c>
      <c r="F58" s="132">
        <f t="shared" si="7"/>
        <v>992000</v>
      </c>
      <c r="G58" s="159">
        <v>22706</v>
      </c>
      <c r="H58" s="320">
        <f t="shared" si="8"/>
        <v>297600</v>
      </c>
      <c r="K58" s="13"/>
    </row>
    <row r="59" spans="1:11">
      <c r="B59" s="487" t="s">
        <v>4</v>
      </c>
      <c r="C59" s="488"/>
      <c r="D59" s="275">
        <f>SUM(D55:D58)</f>
        <v>100</v>
      </c>
      <c r="E59" s="275">
        <f t="shared" ref="E59:H59" si="9">SUM(E55:E58)</f>
        <v>992000</v>
      </c>
      <c r="F59" s="275"/>
      <c r="G59" s="275"/>
      <c r="H59" s="275">
        <f t="shared" si="9"/>
        <v>992000</v>
      </c>
      <c r="K59" s="13"/>
    </row>
    <row r="60" spans="1:11">
      <c r="K60" s="13"/>
    </row>
    <row r="61" spans="1:11" ht="42.75" customHeight="1">
      <c r="B61" s="489" t="s">
        <v>431</v>
      </c>
      <c r="C61" s="489"/>
      <c r="D61" s="489"/>
      <c r="E61" s="489"/>
      <c r="F61" s="489"/>
      <c r="G61" s="489"/>
      <c r="H61" s="489"/>
      <c r="I61" s="489"/>
      <c r="K61" s="13"/>
    </row>
    <row r="62" spans="1:11">
      <c r="B62" s="283" t="s">
        <v>219</v>
      </c>
      <c r="C62" s="283" t="s">
        <v>252</v>
      </c>
      <c r="D62" s="283" t="s">
        <v>247</v>
      </c>
      <c r="E62" s="284" t="s">
        <v>432</v>
      </c>
      <c r="F62" s="282"/>
      <c r="H62" s="278"/>
      <c r="K62" s="13"/>
    </row>
    <row r="63" spans="1:11">
      <c r="B63" s="126" t="s">
        <v>223</v>
      </c>
      <c r="C63" s="138">
        <v>22693</v>
      </c>
      <c r="D63" s="135">
        <v>735000</v>
      </c>
      <c r="E63" s="276">
        <f>D63</f>
        <v>735000</v>
      </c>
      <c r="F63" s="280"/>
      <c r="K63" s="13"/>
    </row>
    <row r="64" spans="1:11">
      <c r="B64" s="126" t="s">
        <v>224</v>
      </c>
      <c r="C64" s="138">
        <v>22723</v>
      </c>
      <c r="D64" s="135">
        <v>2205000</v>
      </c>
      <c r="E64" s="276">
        <f t="shared" ref="E64:E73" si="10">D64</f>
        <v>2205000</v>
      </c>
      <c r="F64" s="280"/>
      <c r="K64" s="13"/>
    </row>
    <row r="65" spans="2:11">
      <c r="B65" s="115" t="s">
        <v>225</v>
      </c>
      <c r="C65" s="159">
        <v>22743</v>
      </c>
      <c r="D65" s="132">
        <v>3430000</v>
      </c>
      <c r="E65" s="276">
        <f t="shared" si="10"/>
        <v>3430000</v>
      </c>
      <c r="F65" s="281"/>
      <c r="K65" s="13"/>
    </row>
    <row r="66" spans="2:11">
      <c r="B66" s="113" t="s">
        <v>226</v>
      </c>
      <c r="C66" s="159">
        <v>22783</v>
      </c>
      <c r="D66" s="426">
        <v>3430000</v>
      </c>
      <c r="E66" s="425">
        <f t="shared" si="10"/>
        <v>3430000</v>
      </c>
      <c r="F66" s="281"/>
      <c r="K66" s="13"/>
    </row>
    <row r="67" spans="2:11">
      <c r="B67" s="126" t="s">
        <v>227</v>
      </c>
      <c r="C67" s="138">
        <v>22813</v>
      </c>
      <c r="D67" s="135">
        <v>3430000</v>
      </c>
      <c r="E67" s="425">
        <f t="shared" si="10"/>
        <v>3430000</v>
      </c>
      <c r="F67" s="280"/>
      <c r="K67" s="13"/>
    </row>
    <row r="68" spans="2:11">
      <c r="B68" s="113" t="s">
        <v>228</v>
      </c>
      <c r="C68" s="159">
        <v>22843</v>
      </c>
      <c r="D68" s="131">
        <v>4410000</v>
      </c>
      <c r="E68" s="425">
        <f t="shared" si="10"/>
        <v>4410000</v>
      </c>
      <c r="F68" s="280"/>
      <c r="K68" s="13"/>
    </row>
    <row r="69" spans="2:11">
      <c r="B69" s="115" t="s">
        <v>229</v>
      </c>
      <c r="C69" s="159">
        <v>22873</v>
      </c>
      <c r="D69" s="135">
        <v>4410000</v>
      </c>
      <c r="E69" s="425">
        <f t="shared" si="10"/>
        <v>4410000</v>
      </c>
      <c r="F69" s="281"/>
    </row>
    <row r="70" spans="2:11">
      <c r="B70" s="126" t="s">
        <v>230</v>
      </c>
      <c r="C70" s="138">
        <v>22903</v>
      </c>
      <c r="D70" s="135">
        <v>4410000</v>
      </c>
      <c r="E70" s="425">
        <f t="shared" si="10"/>
        <v>4410000</v>
      </c>
      <c r="F70" s="281"/>
    </row>
    <row r="71" spans="2:11">
      <c r="B71" s="126" t="s">
        <v>231</v>
      </c>
      <c r="C71" s="138">
        <v>22933</v>
      </c>
      <c r="D71" s="135">
        <v>4410000</v>
      </c>
      <c r="E71" s="425">
        <f t="shared" si="10"/>
        <v>4410000</v>
      </c>
      <c r="F71" s="280"/>
    </row>
    <row r="72" spans="2:11">
      <c r="B72" s="126" t="s">
        <v>232</v>
      </c>
      <c r="C72" s="138">
        <v>22963</v>
      </c>
      <c r="D72" s="135">
        <v>5390000</v>
      </c>
      <c r="E72" s="425">
        <f t="shared" si="10"/>
        <v>5390000</v>
      </c>
      <c r="F72" s="280"/>
    </row>
    <row r="73" spans="2:11">
      <c r="B73" s="115" t="s">
        <v>233</v>
      </c>
      <c r="C73" s="159">
        <v>22993</v>
      </c>
      <c r="D73" s="135">
        <v>5390000</v>
      </c>
      <c r="E73" s="425">
        <f t="shared" si="10"/>
        <v>5390000</v>
      </c>
      <c r="F73" s="281"/>
    </row>
    <row r="74" spans="2:11">
      <c r="B74" s="126" t="s">
        <v>234</v>
      </c>
      <c r="C74" s="138">
        <v>23023</v>
      </c>
      <c r="D74" s="135">
        <v>7350000</v>
      </c>
      <c r="E74" s="425" t="s">
        <v>411</v>
      </c>
      <c r="F74" s="280"/>
    </row>
    <row r="75" spans="2:11">
      <c r="B75" s="490" t="s">
        <v>4</v>
      </c>
      <c r="C75" s="490"/>
      <c r="D75" s="275">
        <f>SUM(D63:D74)</f>
        <v>49000000</v>
      </c>
      <c r="E75" s="275">
        <f>SUM(E63:E74)</f>
        <v>41650000</v>
      </c>
      <c r="F75" s="279"/>
      <c r="G75" s="279"/>
    </row>
    <row r="96" spans="2:8">
      <c r="B96" s="122"/>
      <c r="C96" s="123"/>
      <c r="D96" s="123"/>
      <c r="E96" s="129" t="s">
        <v>218</v>
      </c>
      <c r="F96" s="123"/>
      <c r="G96" s="124"/>
      <c r="H96" s="117" t="s">
        <v>261</v>
      </c>
    </row>
    <row r="97" spans="2:8">
      <c r="B97" s="117" t="s">
        <v>219</v>
      </c>
      <c r="C97" s="117" t="s">
        <v>220</v>
      </c>
      <c r="D97" s="117" t="s">
        <v>221</v>
      </c>
      <c r="E97" s="117" t="s">
        <v>247</v>
      </c>
      <c r="F97" s="117" t="s">
        <v>251</v>
      </c>
      <c r="G97" s="117" t="s">
        <v>252</v>
      </c>
      <c r="H97" s="117" t="s">
        <v>222</v>
      </c>
    </row>
    <row r="98" spans="2:8">
      <c r="B98" s="126" t="s">
        <v>223</v>
      </c>
      <c r="C98" s="126" t="s">
        <v>411</v>
      </c>
      <c r="D98" s="277" t="s">
        <v>411</v>
      </c>
      <c r="E98" s="135">
        <v>735000</v>
      </c>
      <c r="F98" s="135">
        <f>E98</f>
        <v>735000</v>
      </c>
      <c r="G98" s="138">
        <v>22693</v>
      </c>
      <c r="H98" s="276" t="s">
        <v>411</v>
      </c>
    </row>
    <row r="99" spans="2:8">
      <c r="B99" s="126" t="s">
        <v>224</v>
      </c>
      <c r="C99" s="126" t="s">
        <v>411</v>
      </c>
      <c r="D99" s="277" t="s">
        <v>411</v>
      </c>
      <c r="E99" s="135">
        <v>2205000</v>
      </c>
      <c r="F99" s="135">
        <f t="shared" ref="F99:F100" si="11">E99+F98</f>
        <v>2940000</v>
      </c>
      <c r="G99" s="138">
        <v>22723</v>
      </c>
      <c r="H99" s="276" t="s">
        <v>411</v>
      </c>
    </row>
    <row r="100" spans="2:8">
      <c r="B100" s="115" t="s">
        <v>225</v>
      </c>
      <c r="C100" s="126" t="s">
        <v>411</v>
      </c>
      <c r="D100" s="277" t="s">
        <v>411</v>
      </c>
      <c r="E100" s="132">
        <v>3430000</v>
      </c>
      <c r="F100" s="132">
        <f t="shared" si="11"/>
        <v>6370000</v>
      </c>
      <c r="G100" s="159">
        <v>22743</v>
      </c>
      <c r="H100" s="276" t="s">
        <v>411</v>
      </c>
    </row>
    <row r="101" spans="2:8">
      <c r="B101" s="126" t="s">
        <v>226</v>
      </c>
      <c r="C101" s="126" t="s">
        <v>411</v>
      </c>
      <c r="D101" s="277" t="s">
        <v>411</v>
      </c>
      <c r="E101" s="274">
        <v>3430000</v>
      </c>
      <c r="F101" s="132">
        <f>E101+F100</f>
        <v>9800000</v>
      </c>
      <c r="G101" s="138">
        <v>22783</v>
      </c>
      <c r="H101" s="276" t="s">
        <v>411</v>
      </c>
    </row>
    <row r="102" spans="2:8">
      <c r="B102" s="126" t="s">
        <v>227</v>
      </c>
      <c r="C102" s="126" t="s">
        <v>411</v>
      </c>
      <c r="D102" s="277" t="s">
        <v>411</v>
      </c>
      <c r="E102" s="135">
        <v>3430000</v>
      </c>
      <c r="F102" s="135">
        <f t="shared" ref="F102" si="12">E102</f>
        <v>3430000</v>
      </c>
      <c r="G102" s="138">
        <v>22813</v>
      </c>
      <c r="H102" s="276" t="s">
        <v>411</v>
      </c>
    </row>
    <row r="103" spans="2:8">
      <c r="B103" s="126" t="s">
        <v>228</v>
      </c>
      <c r="C103" s="126" t="s">
        <v>411</v>
      </c>
      <c r="D103" s="277" t="s">
        <v>411</v>
      </c>
      <c r="E103" s="135">
        <v>4410000</v>
      </c>
      <c r="F103" s="135">
        <f t="shared" ref="F103:F105" si="13">E103+F102</f>
        <v>7840000</v>
      </c>
      <c r="G103" s="138">
        <v>22843</v>
      </c>
      <c r="H103" s="276" t="s">
        <v>411</v>
      </c>
    </row>
    <row r="104" spans="2:8">
      <c r="B104" s="115" t="s">
        <v>229</v>
      </c>
      <c r="C104" s="126" t="s">
        <v>411</v>
      </c>
      <c r="D104" s="277" t="s">
        <v>411</v>
      </c>
      <c r="E104" s="135">
        <v>4410000</v>
      </c>
      <c r="F104" s="132">
        <f t="shared" si="13"/>
        <v>12250000</v>
      </c>
      <c r="G104" s="159">
        <v>22873</v>
      </c>
      <c r="H104" s="276" t="s">
        <v>411</v>
      </c>
    </row>
    <row r="105" spans="2:8">
      <c r="B105" s="126" t="s">
        <v>230</v>
      </c>
      <c r="C105" s="126" t="s">
        <v>411</v>
      </c>
      <c r="D105" s="277" t="s">
        <v>411</v>
      </c>
      <c r="E105" s="135">
        <v>4410000</v>
      </c>
      <c r="F105" s="132">
        <f t="shared" si="13"/>
        <v>16660000</v>
      </c>
      <c r="G105" s="138">
        <v>22903</v>
      </c>
      <c r="H105" s="276" t="s">
        <v>411</v>
      </c>
    </row>
    <row r="106" spans="2:8">
      <c r="B106" s="126" t="s">
        <v>231</v>
      </c>
      <c r="C106" s="126" t="s">
        <v>411</v>
      </c>
      <c r="D106" s="277" t="s">
        <v>411</v>
      </c>
      <c r="E106" s="135">
        <v>4410000</v>
      </c>
      <c r="F106" s="135">
        <f t="shared" ref="F106" si="14">E106</f>
        <v>4410000</v>
      </c>
      <c r="G106" s="138">
        <v>22933</v>
      </c>
      <c r="H106" s="276" t="s">
        <v>411</v>
      </c>
    </row>
    <row r="107" spans="2:8">
      <c r="B107" s="126" t="s">
        <v>232</v>
      </c>
      <c r="C107" s="126" t="s">
        <v>411</v>
      </c>
      <c r="D107" s="277" t="s">
        <v>411</v>
      </c>
      <c r="E107" s="135">
        <v>5390000</v>
      </c>
      <c r="F107" s="135">
        <f t="shared" ref="F107:F109" si="15">E107+F106</f>
        <v>9800000</v>
      </c>
      <c r="G107" s="138">
        <v>22963</v>
      </c>
      <c r="H107" s="276" t="s">
        <v>411</v>
      </c>
    </row>
    <row r="108" spans="2:8">
      <c r="B108" s="115" t="s">
        <v>233</v>
      </c>
      <c r="C108" s="126" t="s">
        <v>411</v>
      </c>
      <c r="D108" s="277" t="s">
        <v>411</v>
      </c>
      <c r="E108" s="135">
        <v>5390000</v>
      </c>
      <c r="F108" s="132">
        <f t="shared" si="15"/>
        <v>15190000</v>
      </c>
      <c r="G108" s="159">
        <v>22993</v>
      </c>
      <c r="H108" s="276" t="s">
        <v>411</v>
      </c>
    </row>
    <row r="109" spans="2:8">
      <c r="B109" s="126" t="s">
        <v>234</v>
      </c>
      <c r="C109" s="126" t="s">
        <v>411</v>
      </c>
      <c r="D109" s="277" t="s">
        <v>411</v>
      </c>
      <c r="E109" s="135">
        <v>7350000</v>
      </c>
      <c r="F109" s="135">
        <f t="shared" si="15"/>
        <v>22540000</v>
      </c>
      <c r="G109" s="138">
        <v>23023</v>
      </c>
      <c r="H109" s="276" t="s">
        <v>411</v>
      </c>
    </row>
    <row r="110" spans="2:8">
      <c r="B110" s="487" t="s">
        <v>4</v>
      </c>
      <c r="C110" s="488"/>
      <c r="D110" s="275">
        <f>SUM(D98:D101)</f>
        <v>0</v>
      </c>
      <c r="E110" s="275">
        <f>SUM(E98:E101)</f>
        <v>9800000</v>
      </c>
      <c r="F110" s="275"/>
      <c r="G110" s="275"/>
      <c r="H110" s="275">
        <f>SUM(H98:H101)</f>
        <v>0</v>
      </c>
    </row>
  </sheetData>
  <mergeCells count="12">
    <mergeCell ref="B59:C59"/>
    <mergeCell ref="B61:I61"/>
    <mergeCell ref="B75:C75"/>
    <mergeCell ref="B110:C110"/>
    <mergeCell ref="B52:I52"/>
    <mergeCell ref="A1:K1"/>
    <mergeCell ref="A4:M4"/>
    <mergeCell ref="A2:I2"/>
    <mergeCell ref="B50:I50"/>
    <mergeCell ref="A5:J5"/>
    <mergeCell ref="B48:C48"/>
    <mergeCell ref="A3:I3"/>
  </mergeCells>
  <pageMargins left="0.70866141732283472" right="0.39370078740157483" top="0.74803149606299213" bottom="0.74803149606299213" header="0.39370078740157483" footer="0.31496062992125984"/>
  <pageSetup paperSize="9" scale="83" firstPageNumber="3" orientation="landscape" useFirstPageNumber="1" r:id="rId1"/>
  <headerFooter>
    <oddHeader>&amp;R&amp;P</oddHeader>
  </headerFooter>
  <rowBreaks count="3" manualBreakCount="3">
    <brk id="22" max="8" man="1"/>
    <brk id="49" max="8" man="1"/>
    <brk id="7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5"/>
  <sheetViews>
    <sheetView view="pageBreakPreview" topLeftCell="A16" zoomScale="90" zoomScaleSheetLayoutView="90" workbookViewId="0">
      <selection activeCell="C22" sqref="C22"/>
    </sheetView>
  </sheetViews>
  <sheetFormatPr defaultRowHeight="18"/>
  <cols>
    <col min="1" max="1" width="4" style="99" customWidth="1"/>
    <col min="2" max="2" width="7.375" style="99" customWidth="1"/>
    <col min="3" max="3" width="65.125" style="99" customWidth="1"/>
    <col min="4" max="4" width="7.875" style="99" customWidth="1"/>
    <col min="5" max="5" width="5.5" style="99" bestFit="1" customWidth="1"/>
    <col min="6" max="6" width="14.75" style="99" bestFit="1" customWidth="1"/>
    <col min="7" max="7" width="16.125" style="99" bestFit="1" customWidth="1"/>
    <col min="8" max="8" width="14.5" style="99" bestFit="1" customWidth="1"/>
    <col min="9" max="9" width="15" style="99" bestFit="1" customWidth="1"/>
    <col min="10" max="10" width="5.625" style="198" bestFit="1" customWidth="1"/>
    <col min="11" max="11" width="9" style="99"/>
    <col min="12" max="12" width="14.75" style="99" bestFit="1" customWidth="1"/>
    <col min="13" max="16384" width="9" style="99"/>
  </cols>
  <sheetData>
    <row r="1" spans="1:10" ht="18.75">
      <c r="A1" s="166"/>
      <c r="B1" s="216" t="s">
        <v>387</v>
      </c>
      <c r="C1" s="217"/>
      <c r="D1" s="217"/>
      <c r="E1" s="217"/>
      <c r="F1" s="217"/>
      <c r="G1" s="217"/>
      <c r="H1" s="217"/>
      <c r="I1" s="217"/>
      <c r="J1" s="218"/>
    </row>
    <row r="2" spans="1:10" ht="18.75">
      <c r="A2" s="166"/>
      <c r="B2" s="167" t="s">
        <v>344</v>
      </c>
      <c r="C2" s="503" t="s">
        <v>345</v>
      </c>
      <c r="D2" s="503"/>
      <c r="E2" s="503"/>
      <c r="F2" s="503"/>
      <c r="G2" s="503"/>
      <c r="H2" s="503"/>
      <c r="I2" s="168"/>
      <c r="J2" s="218"/>
    </row>
    <row r="3" spans="1:10" ht="18.75">
      <c r="A3" s="166"/>
      <c r="B3" s="167" t="s">
        <v>18</v>
      </c>
      <c r="C3" s="169" t="s">
        <v>346</v>
      </c>
      <c r="D3" s="170"/>
      <c r="E3" s="170"/>
      <c r="F3" s="171"/>
      <c r="G3" s="171"/>
      <c r="H3" s="171"/>
      <c r="I3" s="168"/>
      <c r="J3" s="218"/>
    </row>
    <row r="4" spans="1:10" ht="18.75">
      <c r="A4" s="166"/>
      <c r="B4" s="496" t="s">
        <v>333</v>
      </c>
      <c r="C4" s="494" t="s">
        <v>334</v>
      </c>
      <c r="D4" s="498" t="s">
        <v>335</v>
      </c>
      <c r="E4" s="499"/>
      <c r="F4" s="179" t="s">
        <v>336</v>
      </c>
      <c r="G4" s="184" t="s">
        <v>337</v>
      </c>
      <c r="H4" s="182" t="s">
        <v>351</v>
      </c>
      <c r="I4" s="182" t="s">
        <v>352</v>
      </c>
      <c r="J4" s="219" t="s">
        <v>5</v>
      </c>
    </row>
    <row r="5" spans="1:10" ht="18.75">
      <c r="A5" s="166"/>
      <c r="B5" s="497"/>
      <c r="C5" s="495"/>
      <c r="D5" s="181" t="s">
        <v>338</v>
      </c>
      <c r="E5" s="234" t="s">
        <v>339</v>
      </c>
      <c r="F5" s="180" t="s">
        <v>222</v>
      </c>
      <c r="G5" s="185" t="s">
        <v>222</v>
      </c>
      <c r="H5" s="183" t="s">
        <v>222</v>
      </c>
      <c r="I5" s="183" t="s">
        <v>222</v>
      </c>
      <c r="J5" s="220"/>
    </row>
    <row r="6" spans="1:10" ht="18.75">
      <c r="A6" s="166"/>
      <c r="B6" s="174">
        <v>1</v>
      </c>
      <c r="C6" s="266" t="s">
        <v>368</v>
      </c>
      <c r="D6" s="267" t="s">
        <v>340</v>
      </c>
      <c r="E6" s="267">
        <v>2</v>
      </c>
      <c r="F6" s="250">
        <v>35000</v>
      </c>
      <c r="G6" s="250">
        <f>E6*F6</f>
        <v>70000</v>
      </c>
      <c r="H6" s="221">
        <f>G6</f>
        <v>70000</v>
      </c>
      <c r="I6" s="221">
        <v>70000</v>
      </c>
      <c r="J6" s="222">
        <f>I6/G6*100</f>
        <v>100</v>
      </c>
    </row>
    <row r="7" spans="1:10" ht="18.75">
      <c r="A7" s="166"/>
      <c r="B7" s="174">
        <v>2</v>
      </c>
      <c r="C7" s="266" t="s">
        <v>369</v>
      </c>
      <c r="D7" s="267" t="s">
        <v>340</v>
      </c>
      <c r="E7" s="267">
        <v>1</v>
      </c>
      <c r="F7" s="250">
        <v>834600</v>
      </c>
      <c r="G7" s="250">
        <f>E7*F7</f>
        <v>834600</v>
      </c>
      <c r="H7" s="221">
        <v>770000</v>
      </c>
      <c r="I7" s="186">
        <v>0</v>
      </c>
      <c r="J7" s="222">
        <f t="shared" ref="J7:J11" si="0">I7/G7*100</f>
        <v>0</v>
      </c>
    </row>
    <row r="8" spans="1:10" ht="18.75">
      <c r="A8" s="166"/>
      <c r="B8" s="175">
        <v>3</v>
      </c>
      <c r="C8" s="266" t="s">
        <v>370</v>
      </c>
      <c r="D8" s="267" t="s">
        <v>340</v>
      </c>
      <c r="E8" s="267">
        <v>1</v>
      </c>
      <c r="F8" s="250">
        <v>222000</v>
      </c>
      <c r="G8" s="250">
        <f>E8*F8</f>
        <v>222000</v>
      </c>
      <c r="H8" s="433">
        <v>220000</v>
      </c>
      <c r="I8" s="186">
        <v>220000</v>
      </c>
      <c r="J8" s="434">
        <f t="shared" si="0"/>
        <v>99.099099099099092</v>
      </c>
    </row>
    <row r="9" spans="1:10" ht="18.75">
      <c r="A9" s="166"/>
      <c r="B9" s="175">
        <v>4</v>
      </c>
      <c r="C9" s="266" t="s">
        <v>371</v>
      </c>
      <c r="D9" s="267" t="s">
        <v>340</v>
      </c>
      <c r="E9" s="267">
        <v>1</v>
      </c>
      <c r="F9" s="250">
        <v>310000</v>
      </c>
      <c r="G9" s="250">
        <f>E9*F9</f>
        <v>310000</v>
      </c>
      <c r="H9" s="433">
        <f>G9</f>
        <v>310000</v>
      </c>
      <c r="I9" s="186">
        <v>310000</v>
      </c>
      <c r="J9" s="434">
        <f t="shared" si="0"/>
        <v>100</v>
      </c>
    </row>
    <row r="10" spans="1:10" ht="18.75">
      <c r="A10" s="166"/>
      <c r="B10" s="174">
        <f>B9+1</f>
        <v>5</v>
      </c>
      <c r="C10" s="266" t="s">
        <v>372</v>
      </c>
      <c r="D10" s="267" t="s">
        <v>340</v>
      </c>
      <c r="E10" s="267">
        <v>2</v>
      </c>
      <c r="F10" s="250">
        <v>25500</v>
      </c>
      <c r="G10" s="250">
        <f>E10*F10</f>
        <v>51000</v>
      </c>
      <c r="H10" s="221">
        <f t="shared" ref="H10" si="1">G10</f>
        <v>51000</v>
      </c>
      <c r="I10" s="187">
        <v>51000</v>
      </c>
      <c r="J10" s="222">
        <f t="shared" si="0"/>
        <v>100</v>
      </c>
    </row>
    <row r="11" spans="1:10" ht="18.75">
      <c r="A11" s="166"/>
      <c r="B11" s="491" t="s">
        <v>38</v>
      </c>
      <c r="C11" s="492"/>
      <c r="D11" s="492"/>
      <c r="E11" s="492"/>
      <c r="F11" s="493"/>
      <c r="G11" s="188">
        <f>SUM(G6:G10)</f>
        <v>1487600</v>
      </c>
      <c r="H11" s="188">
        <f>SUM(H6:H10)</f>
        <v>1421000</v>
      </c>
      <c r="I11" s="189">
        <f>SUM(I6:I10)</f>
        <v>651000</v>
      </c>
      <c r="J11" s="223">
        <f t="shared" si="0"/>
        <v>43.761763915030919</v>
      </c>
    </row>
    <row r="12" spans="1:10" ht="18.75">
      <c r="A12" s="166"/>
      <c r="B12" s="167" t="s">
        <v>18</v>
      </c>
      <c r="C12" s="171" t="s">
        <v>385</v>
      </c>
      <c r="D12" s="170"/>
      <c r="E12" s="170"/>
      <c r="F12" s="171"/>
      <c r="G12" s="171"/>
      <c r="H12" s="171"/>
      <c r="I12" s="168"/>
      <c r="J12" s="218"/>
    </row>
    <row r="13" spans="1:10" ht="18.75">
      <c r="A13" s="166"/>
      <c r="B13" s="496" t="s">
        <v>333</v>
      </c>
      <c r="C13" s="494" t="s">
        <v>334</v>
      </c>
      <c r="D13" s="498" t="s">
        <v>335</v>
      </c>
      <c r="E13" s="499"/>
      <c r="F13" s="179" t="s">
        <v>336</v>
      </c>
      <c r="G13" s="184" t="s">
        <v>337</v>
      </c>
      <c r="H13" s="182" t="s">
        <v>351</v>
      </c>
      <c r="I13" s="182" t="s">
        <v>352</v>
      </c>
      <c r="J13" s="219" t="s">
        <v>5</v>
      </c>
    </row>
    <row r="14" spans="1:10" ht="18.75">
      <c r="A14" s="166"/>
      <c r="B14" s="497"/>
      <c r="C14" s="495"/>
      <c r="D14" s="181" t="s">
        <v>338</v>
      </c>
      <c r="E14" s="234" t="s">
        <v>339</v>
      </c>
      <c r="F14" s="180" t="s">
        <v>222</v>
      </c>
      <c r="G14" s="185" t="s">
        <v>222</v>
      </c>
      <c r="H14" s="183" t="s">
        <v>222</v>
      </c>
      <c r="I14" s="183" t="s">
        <v>222</v>
      </c>
      <c r="J14" s="220"/>
    </row>
    <row r="15" spans="1:10" ht="138" customHeight="1">
      <c r="A15" s="166"/>
      <c r="B15" s="174">
        <v>1</v>
      </c>
      <c r="C15" s="176" t="s">
        <v>373</v>
      </c>
      <c r="D15" s="174" t="s">
        <v>342</v>
      </c>
      <c r="E15" s="174">
        <v>1</v>
      </c>
      <c r="F15" s="244">
        <v>930000</v>
      </c>
      <c r="G15" s="244">
        <v>930000</v>
      </c>
      <c r="H15" s="244">
        <v>930000</v>
      </c>
      <c r="I15" s="186">
        <v>925000</v>
      </c>
      <c r="J15" s="222">
        <f>I15/G15*100</f>
        <v>99.462365591397855</v>
      </c>
    </row>
    <row r="16" spans="1:10" ht="18.75">
      <c r="A16" s="166"/>
      <c r="B16" s="175">
        <f>B15+1</f>
        <v>2</v>
      </c>
      <c r="C16" s="435" t="s">
        <v>374</v>
      </c>
      <c r="D16" s="175" t="s">
        <v>342</v>
      </c>
      <c r="E16" s="175">
        <v>1</v>
      </c>
      <c r="F16" s="436">
        <v>820000</v>
      </c>
      <c r="G16" s="436">
        <v>820000</v>
      </c>
      <c r="H16" s="186">
        <v>820000</v>
      </c>
      <c r="I16" s="186">
        <v>800000</v>
      </c>
      <c r="J16" s="434">
        <f t="shared" ref="J16:J18" si="2">I16/G16*100</f>
        <v>97.560975609756099</v>
      </c>
    </row>
    <row r="17" spans="1:10" ht="18.75">
      <c r="A17" s="166"/>
      <c r="B17" s="175">
        <f>B16+1</f>
        <v>3</v>
      </c>
      <c r="C17" s="435" t="s">
        <v>375</v>
      </c>
      <c r="D17" s="175" t="s">
        <v>342</v>
      </c>
      <c r="E17" s="175">
        <v>1</v>
      </c>
      <c r="F17" s="436">
        <v>960000</v>
      </c>
      <c r="G17" s="436">
        <v>960000</v>
      </c>
      <c r="H17" s="186">
        <v>960000</v>
      </c>
      <c r="I17" s="437">
        <v>951000</v>
      </c>
      <c r="J17" s="434">
        <f t="shared" si="2"/>
        <v>99.0625</v>
      </c>
    </row>
    <row r="18" spans="1:10" ht="18.75">
      <c r="A18" s="166"/>
      <c r="B18" s="491" t="s">
        <v>38</v>
      </c>
      <c r="C18" s="492"/>
      <c r="D18" s="492"/>
      <c r="E18" s="492"/>
      <c r="F18" s="493"/>
      <c r="G18" s="188">
        <f>SUM(G15:G17)</f>
        <v>2710000</v>
      </c>
      <c r="H18" s="188">
        <f>SUM(H15:H17)</f>
        <v>2710000</v>
      </c>
      <c r="I18" s="189">
        <f>SUM(I15:I17)</f>
        <v>2676000</v>
      </c>
      <c r="J18" s="223">
        <f t="shared" si="2"/>
        <v>98.745387453874528</v>
      </c>
    </row>
    <row r="19" spans="1:10" ht="18.75">
      <c r="A19" s="166"/>
      <c r="B19" s="167" t="s">
        <v>18</v>
      </c>
      <c r="C19" s="169" t="s">
        <v>341</v>
      </c>
      <c r="D19" s="170"/>
      <c r="E19" s="170"/>
      <c r="F19" s="171"/>
      <c r="G19" s="171"/>
      <c r="H19" s="171"/>
      <c r="I19" s="168"/>
      <c r="J19" s="218"/>
    </row>
    <row r="20" spans="1:10" ht="18.75">
      <c r="A20" s="166"/>
      <c r="B20" s="496" t="s">
        <v>333</v>
      </c>
      <c r="C20" s="494" t="s">
        <v>334</v>
      </c>
      <c r="D20" s="498" t="s">
        <v>335</v>
      </c>
      <c r="E20" s="499"/>
      <c r="F20" s="179" t="s">
        <v>336</v>
      </c>
      <c r="G20" s="184" t="s">
        <v>337</v>
      </c>
      <c r="H20" s="182" t="s">
        <v>351</v>
      </c>
      <c r="I20" s="182" t="s">
        <v>352</v>
      </c>
      <c r="J20" s="219" t="s">
        <v>5</v>
      </c>
    </row>
    <row r="21" spans="1:10" ht="18.75">
      <c r="A21" s="166"/>
      <c r="B21" s="497"/>
      <c r="C21" s="495"/>
      <c r="D21" s="181" t="s">
        <v>338</v>
      </c>
      <c r="E21" s="234" t="s">
        <v>339</v>
      </c>
      <c r="F21" s="180" t="s">
        <v>222</v>
      </c>
      <c r="G21" s="185" t="s">
        <v>222</v>
      </c>
      <c r="H21" s="183" t="s">
        <v>222</v>
      </c>
      <c r="I21" s="183" t="s">
        <v>222</v>
      </c>
      <c r="J21" s="220"/>
    </row>
    <row r="22" spans="1:10" ht="84">
      <c r="A22" s="166"/>
      <c r="B22" s="237">
        <v>1</v>
      </c>
      <c r="C22" s="239" t="s">
        <v>376</v>
      </c>
      <c r="D22" s="240" t="s">
        <v>342</v>
      </c>
      <c r="E22" s="237">
        <v>2</v>
      </c>
      <c r="F22" s="241">
        <v>205200</v>
      </c>
      <c r="G22" s="241">
        <f t="shared" ref="G22:G26" si="3">F22*E22</f>
        <v>410400</v>
      </c>
      <c r="H22" s="187">
        <f>G22</f>
        <v>410400</v>
      </c>
      <c r="I22" s="187">
        <f>H22</f>
        <v>410400</v>
      </c>
      <c r="J22" s="222">
        <f>I22/G22*100</f>
        <v>100</v>
      </c>
    </row>
    <row r="23" spans="1:10" ht="21">
      <c r="A23" s="166"/>
      <c r="B23" s="237">
        <f>B22+1</f>
        <v>2</v>
      </c>
      <c r="C23" s="239" t="s">
        <v>377</v>
      </c>
      <c r="D23" s="240" t="s">
        <v>342</v>
      </c>
      <c r="E23" s="237">
        <v>1</v>
      </c>
      <c r="F23" s="241">
        <v>870000</v>
      </c>
      <c r="G23" s="241">
        <f t="shared" si="3"/>
        <v>870000</v>
      </c>
      <c r="H23" s="186">
        <v>867500</v>
      </c>
      <c r="I23" s="186">
        <v>0</v>
      </c>
      <c r="J23" s="434">
        <f t="shared" ref="J23:J27" si="4">I23/G23*100</f>
        <v>0</v>
      </c>
    </row>
    <row r="24" spans="1:10" ht="21">
      <c r="A24" s="166"/>
      <c r="B24" s="237">
        <f>B23+1</f>
        <v>3</v>
      </c>
      <c r="C24" s="242" t="s">
        <v>378</v>
      </c>
      <c r="D24" s="240" t="s">
        <v>340</v>
      </c>
      <c r="E24" s="237">
        <v>4</v>
      </c>
      <c r="F24" s="241">
        <v>64600</v>
      </c>
      <c r="G24" s="241">
        <f t="shared" si="3"/>
        <v>258400</v>
      </c>
      <c r="H24" s="186">
        <f t="shared" ref="H24:I25" si="5">G24</f>
        <v>258400</v>
      </c>
      <c r="I24" s="186">
        <f t="shared" si="5"/>
        <v>258400</v>
      </c>
      <c r="J24" s="434">
        <f t="shared" si="4"/>
        <v>100</v>
      </c>
    </row>
    <row r="25" spans="1:10" ht="63">
      <c r="A25" s="166"/>
      <c r="B25" s="237">
        <v>4</v>
      </c>
      <c r="C25" s="239" t="s">
        <v>379</v>
      </c>
      <c r="D25" s="237" t="s">
        <v>340</v>
      </c>
      <c r="E25" s="237">
        <v>1</v>
      </c>
      <c r="F25" s="241">
        <v>450000</v>
      </c>
      <c r="G25" s="241">
        <f t="shared" si="3"/>
        <v>450000</v>
      </c>
      <c r="H25" s="186">
        <f t="shared" si="5"/>
        <v>450000</v>
      </c>
      <c r="I25" s="186">
        <v>450000</v>
      </c>
      <c r="J25" s="434">
        <f t="shared" si="4"/>
        <v>100</v>
      </c>
    </row>
    <row r="26" spans="1:10" ht="42">
      <c r="A26" s="166"/>
      <c r="B26" s="236">
        <v>5</v>
      </c>
      <c r="C26" s="239" t="s">
        <v>380</v>
      </c>
      <c r="D26" s="237" t="s">
        <v>342</v>
      </c>
      <c r="E26" s="237">
        <v>1</v>
      </c>
      <c r="F26" s="241">
        <v>545000</v>
      </c>
      <c r="G26" s="241">
        <f t="shared" si="3"/>
        <v>545000</v>
      </c>
      <c r="H26" s="187">
        <v>545000</v>
      </c>
      <c r="I26" s="187">
        <v>536000</v>
      </c>
      <c r="J26" s="222">
        <f t="shared" si="4"/>
        <v>98.348623853211009</v>
      </c>
    </row>
    <row r="27" spans="1:10" ht="21">
      <c r="A27" s="166"/>
      <c r="B27" s="236">
        <v>6</v>
      </c>
      <c r="C27" s="242" t="s">
        <v>381</v>
      </c>
      <c r="D27" s="240" t="s">
        <v>382</v>
      </c>
      <c r="E27" s="237">
        <v>1</v>
      </c>
      <c r="F27" s="241">
        <v>400000</v>
      </c>
      <c r="G27" s="241">
        <v>400000</v>
      </c>
      <c r="H27" s="241">
        <f>G27</f>
        <v>400000</v>
      </c>
      <c r="I27" s="241">
        <f>H27</f>
        <v>400000</v>
      </c>
      <c r="J27" s="222">
        <f t="shared" si="4"/>
        <v>100</v>
      </c>
    </row>
    <row r="28" spans="1:10" ht="18.75">
      <c r="A28" s="166"/>
      <c r="B28" s="491" t="s">
        <v>38</v>
      </c>
      <c r="C28" s="492"/>
      <c r="D28" s="492"/>
      <c r="E28" s="492"/>
      <c r="F28" s="493"/>
      <c r="G28" s="188">
        <f>SUM(G22:G27)</f>
        <v>2933800</v>
      </c>
      <c r="H28" s="188">
        <f>SUM(H22:H27)</f>
        <v>2931300</v>
      </c>
      <c r="I28" s="188">
        <f>SUM(I22:I27)</f>
        <v>2054800</v>
      </c>
      <c r="J28" s="223">
        <f>I28/G28*100</f>
        <v>70.038857454495869</v>
      </c>
    </row>
    <row r="29" spans="1:10" ht="18.75">
      <c r="A29" s="166"/>
      <c r="B29" s="167" t="s">
        <v>18</v>
      </c>
      <c r="C29" s="171" t="s">
        <v>386</v>
      </c>
      <c r="D29" s="171"/>
      <c r="E29" s="171"/>
      <c r="F29" s="171"/>
      <c r="G29" s="171"/>
      <c r="H29" s="171"/>
      <c r="I29" s="168"/>
      <c r="J29" s="218"/>
    </row>
    <row r="30" spans="1:10" ht="18.75">
      <c r="A30" s="166"/>
      <c r="B30" s="500" t="s">
        <v>333</v>
      </c>
      <c r="C30" s="501" t="s">
        <v>334</v>
      </c>
      <c r="D30" s="502" t="s">
        <v>335</v>
      </c>
      <c r="E30" s="502"/>
      <c r="F30" s="181" t="s">
        <v>336</v>
      </c>
      <c r="G30" s="181" t="s">
        <v>337</v>
      </c>
      <c r="H30" s="261" t="s">
        <v>351</v>
      </c>
      <c r="I30" s="261" t="s">
        <v>352</v>
      </c>
      <c r="J30" s="262" t="s">
        <v>5</v>
      </c>
    </row>
    <row r="31" spans="1:10" ht="18.75">
      <c r="A31" s="166"/>
      <c r="B31" s="500"/>
      <c r="C31" s="501"/>
      <c r="D31" s="181" t="s">
        <v>338</v>
      </c>
      <c r="E31" s="181" t="s">
        <v>339</v>
      </c>
      <c r="F31" s="181" t="s">
        <v>222</v>
      </c>
      <c r="G31" s="181" t="s">
        <v>222</v>
      </c>
      <c r="H31" s="261" t="s">
        <v>222</v>
      </c>
      <c r="I31" s="261" t="s">
        <v>222</v>
      </c>
      <c r="J31" s="263"/>
    </row>
    <row r="32" spans="1:10" ht="93.75">
      <c r="A32" s="166"/>
      <c r="B32" s="174">
        <v>1</v>
      </c>
      <c r="C32" s="173" t="s">
        <v>383</v>
      </c>
      <c r="D32" s="174" t="s">
        <v>343</v>
      </c>
      <c r="E32" s="174">
        <v>1</v>
      </c>
      <c r="F32" s="259">
        <f>993000</f>
        <v>993000</v>
      </c>
      <c r="G32" s="259">
        <f>F32*E32</f>
        <v>993000</v>
      </c>
      <c r="H32" s="187">
        <f>G32</f>
        <v>993000</v>
      </c>
      <c r="I32" s="187">
        <v>989000</v>
      </c>
      <c r="J32" s="222">
        <f>I32/G32*100</f>
        <v>99.597180261832833</v>
      </c>
    </row>
    <row r="33" spans="1:11" ht="131.25">
      <c r="A33" s="166"/>
      <c r="B33" s="174">
        <f>B32+1</f>
        <v>2</v>
      </c>
      <c r="C33" s="260" t="s">
        <v>384</v>
      </c>
      <c r="D33" s="174" t="s">
        <v>343</v>
      </c>
      <c r="E33" s="174">
        <v>1</v>
      </c>
      <c r="F33" s="259">
        <f>819500</f>
        <v>819500</v>
      </c>
      <c r="G33" s="259">
        <f>F33*E33</f>
        <v>819500</v>
      </c>
      <c r="H33" s="187">
        <f>G33</f>
        <v>819500</v>
      </c>
      <c r="I33" s="187">
        <v>775000</v>
      </c>
      <c r="J33" s="222">
        <f>I33/G33*100</f>
        <v>94.569859670530803</v>
      </c>
    </row>
    <row r="34" spans="1:11" ht="18.75">
      <c r="A34" s="166"/>
      <c r="B34" s="491" t="s">
        <v>38</v>
      </c>
      <c r="C34" s="492"/>
      <c r="D34" s="492"/>
      <c r="E34" s="492"/>
      <c r="F34" s="493"/>
      <c r="G34" s="188">
        <f>SUM(G32:G33)</f>
        <v>1812500</v>
      </c>
      <c r="H34" s="188">
        <f>SUM(H32:H33)</f>
        <v>1812500</v>
      </c>
      <c r="I34" s="189">
        <f>SUM(I32:I33)</f>
        <v>1764000</v>
      </c>
      <c r="J34" s="223">
        <f>I34/G34*100</f>
        <v>97.324137931034485</v>
      </c>
    </row>
    <row r="35" spans="1:11" ht="18.75">
      <c r="A35" s="166"/>
      <c r="B35" s="167" t="s">
        <v>344</v>
      </c>
      <c r="C35" s="167" t="s">
        <v>347</v>
      </c>
      <c r="D35" s="177"/>
      <c r="E35" s="177"/>
      <c r="F35" s="177"/>
      <c r="G35" s="177"/>
      <c r="H35" s="178"/>
      <c r="I35" s="168"/>
      <c r="J35" s="119"/>
    </row>
    <row r="36" spans="1:11" ht="18.75">
      <c r="A36" s="166"/>
      <c r="B36" s="167" t="s">
        <v>18</v>
      </c>
      <c r="C36" s="171" t="s">
        <v>348</v>
      </c>
      <c r="D36" s="170"/>
      <c r="E36" s="170"/>
      <c r="F36" s="171"/>
      <c r="G36" s="171"/>
      <c r="H36" s="171"/>
      <c r="I36" s="168"/>
      <c r="J36" s="119"/>
    </row>
    <row r="37" spans="1:11" ht="18.75">
      <c r="A37" s="166"/>
      <c r="B37" s="496" t="s">
        <v>333</v>
      </c>
      <c r="C37" s="494" t="s">
        <v>334</v>
      </c>
      <c r="D37" s="498" t="s">
        <v>335</v>
      </c>
      <c r="E37" s="499"/>
      <c r="F37" s="179" t="s">
        <v>336</v>
      </c>
      <c r="G37" s="184" t="s">
        <v>337</v>
      </c>
      <c r="H37" s="182" t="s">
        <v>351</v>
      </c>
      <c r="I37" s="182" t="s">
        <v>352</v>
      </c>
      <c r="J37" s="195" t="s">
        <v>5</v>
      </c>
    </row>
    <row r="38" spans="1:11" ht="18.75">
      <c r="A38" s="166"/>
      <c r="B38" s="497"/>
      <c r="C38" s="495"/>
      <c r="D38" s="181" t="s">
        <v>338</v>
      </c>
      <c r="E38" s="234" t="s">
        <v>339</v>
      </c>
      <c r="F38" s="180" t="s">
        <v>222</v>
      </c>
      <c r="G38" s="185" t="s">
        <v>222</v>
      </c>
      <c r="H38" s="183" t="s">
        <v>222</v>
      </c>
      <c r="I38" s="183" t="s">
        <v>222</v>
      </c>
      <c r="J38" s="196"/>
    </row>
    <row r="39" spans="1:11" ht="21">
      <c r="A39" s="166"/>
      <c r="B39" s="172">
        <v>1</v>
      </c>
      <c r="C39" s="245" t="s">
        <v>388</v>
      </c>
      <c r="D39" s="236" t="s">
        <v>340</v>
      </c>
      <c r="E39" s="246">
        <v>1</v>
      </c>
      <c r="F39" s="285">
        <v>130000</v>
      </c>
      <c r="G39" s="251">
        <f t="shared" ref="G39:G46" si="6">F39*E39</f>
        <v>130000</v>
      </c>
      <c r="H39" s="286">
        <v>130000</v>
      </c>
      <c r="I39" s="190">
        <v>129000</v>
      </c>
      <c r="J39" s="194">
        <f>I39/G39*100</f>
        <v>99.230769230769226</v>
      </c>
    </row>
    <row r="40" spans="1:11" ht="21">
      <c r="A40" s="166"/>
      <c r="B40" s="172">
        <f t="shared" ref="B40:B46" si="7">B39+1</f>
        <v>2</v>
      </c>
      <c r="C40" s="245" t="s">
        <v>389</v>
      </c>
      <c r="D40" s="236" t="s">
        <v>342</v>
      </c>
      <c r="E40" s="246">
        <v>1</v>
      </c>
      <c r="F40" s="285">
        <v>50000</v>
      </c>
      <c r="G40" s="251">
        <f t="shared" si="6"/>
        <v>50000</v>
      </c>
      <c r="H40" s="190">
        <f t="shared" ref="H40:H46" si="8">I40</f>
        <v>45500</v>
      </c>
      <c r="I40" s="190">
        <v>45500</v>
      </c>
      <c r="J40" s="194">
        <f t="shared" ref="J40:J46" si="9">I40/G40*100</f>
        <v>91</v>
      </c>
    </row>
    <row r="41" spans="1:11" ht="21">
      <c r="A41" s="166"/>
      <c r="B41" s="172">
        <f t="shared" si="7"/>
        <v>3</v>
      </c>
      <c r="C41" s="248" t="s">
        <v>390</v>
      </c>
      <c r="D41" s="236" t="s">
        <v>340</v>
      </c>
      <c r="E41" s="246">
        <v>1</v>
      </c>
      <c r="F41" s="285">
        <v>45000</v>
      </c>
      <c r="G41" s="251">
        <f t="shared" si="6"/>
        <v>45000</v>
      </c>
      <c r="H41" s="190">
        <f t="shared" si="8"/>
        <v>44500</v>
      </c>
      <c r="I41" s="190">
        <v>44500</v>
      </c>
      <c r="J41" s="194">
        <f t="shared" si="9"/>
        <v>98.888888888888886</v>
      </c>
    </row>
    <row r="42" spans="1:11" ht="21">
      <c r="A42" s="166"/>
      <c r="B42" s="172">
        <f t="shared" si="7"/>
        <v>4</v>
      </c>
      <c r="C42" s="248" t="s">
        <v>391</v>
      </c>
      <c r="D42" s="236" t="s">
        <v>340</v>
      </c>
      <c r="E42" s="246">
        <v>2</v>
      </c>
      <c r="F42" s="285">
        <v>13000</v>
      </c>
      <c r="G42" s="251">
        <f t="shared" si="6"/>
        <v>26000</v>
      </c>
      <c r="H42" s="190">
        <f t="shared" si="8"/>
        <v>25000</v>
      </c>
      <c r="I42" s="190">
        <v>25000</v>
      </c>
      <c r="J42" s="194">
        <f t="shared" si="9"/>
        <v>96.15384615384616</v>
      </c>
    </row>
    <row r="43" spans="1:11" ht="21">
      <c r="A43" s="166"/>
      <c r="B43" s="172">
        <f t="shared" si="7"/>
        <v>5</v>
      </c>
      <c r="C43" s="248" t="s">
        <v>392</v>
      </c>
      <c r="D43" s="236" t="s">
        <v>340</v>
      </c>
      <c r="E43" s="246">
        <v>3</v>
      </c>
      <c r="F43" s="285">
        <v>2500</v>
      </c>
      <c r="G43" s="251">
        <f t="shared" si="6"/>
        <v>7500</v>
      </c>
      <c r="H43" s="190">
        <f t="shared" si="8"/>
        <v>7200</v>
      </c>
      <c r="I43" s="190">
        <v>7200</v>
      </c>
      <c r="J43" s="194">
        <f t="shared" si="9"/>
        <v>96</v>
      </c>
    </row>
    <row r="44" spans="1:11" ht="21">
      <c r="A44" s="166"/>
      <c r="B44" s="172">
        <f t="shared" si="7"/>
        <v>6</v>
      </c>
      <c r="C44" s="245" t="s">
        <v>393</v>
      </c>
      <c r="D44" s="236" t="s">
        <v>340</v>
      </c>
      <c r="E44" s="246">
        <v>1</v>
      </c>
      <c r="F44" s="285">
        <v>11000</v>
      </c>
      <c r="G44" s="251">
        <f t="shared" si="6"/>
        <v>11000</v>
      </c>
      <c r="H44" s="190">
        <f t="shared" si="8"/>
        <v>11000</v>
      </c>
      <c r="I44" s="190">
        <v>11000</v>
      </c>
      <c r="J44" s="194">
        <f t="shared" si="9"/>
        <v>100</v>
      </c>
      <c r="K44" s="193"/>
    </row>
    <row r="45" spans="1:11" ht="21">
      <c r="A45" s="166"/>
      <c r="B45" s="172">
        <f t="shared" si="7"/>
        <v>7</v>
      </c>
      <c r="C45" s="245" t="s">
        <v>394</v>
      </c>
      <c r="D45" s="236" t="s">
        <v>340</v>
      </c>
      <c r="E45" s="246">
        <v>1</v>
      </c>
      <c r="F45" s="285">
        <v>100000</v>
      </c>
      <c r="G45" s="251">
        <f t="shared" si="6"/>
        <v>100000</v>
      </c>
      <c r="H45" s="190">
        <f t="shared" si="8"/>
        <v>98000</v>
      </c>
      <c r="I45" s="191">
        <v>98000</v>
      </c>
      <c r="J45" s="194">
        <f t="shared" si="9"/>
        <v>98</v>
      </c>
    </row>
    <row r="46" spans="1:11" ht="21">
      <c r="A46" s="166"/>
      <c r="B46" s="172">
        <f t="shared" si="7"/>
        <v>8</v>
      </c>
      <c r="C46" s="245" t="s">
        <v>395</v>
      </c>
      <c r="D46" s="236" t="s">
        <v>340</v>
      </c>
      <c r="E46" s="246">
        <v>1</v>
      </c>
      <c r="F46" s="285">
        <v>90000</v>
      </c>
      <c r="G46" s="251">
        <f t="shared" si="6"/>
        <v>90000</v>
      </c>
      <c r="H46" s="190">
        <f t="shared" si="8"/>
        <v>89000</v>
      </c>
      <c r="I46" s="191">
        <v>89000</v>
      </c>
      <c r="J46" s="194">
        <f t="shared" si="9"/>
        <v>98.888888888888886</v>
      </c>
    </row>
    <row r="47" spans="1:11" ht="18.75">
      <c r="A47" s="166"/>
      <c r="B47" s="491" t="s">
        <v>38</v>
      </c>
      <c r="C47" s="492"/>
      <c r="D47" s="492"/>
      <c r="E47" s="492"/>
      <c r="F47" s="493"/>
      <c r="G47" s="188">
        <f>SUM(G39:G46)</f>
        <v>459500</v>
      </c>
      <c r="H47" s="188">
        <f>SUM(H39:H46)</f>
        <v>450200</v>
      </c>
      <c r="I47" s="188">
        <f>SUM(I39:I46)</f>
        <v>449200</v>
      </c>
      <c r="J47" s="194">
        <f>I47/G47*100</f>
        <v>97.75843307943417</v>
      </c>
    </row>
    <row r="48" spans="1:11" ht="18.75">
      <c r="A48" s="166"/>
      <c r="B48" s="167" t="s">
        <v>18</v>
      </c>
      <c r="C48" s="171" t="s">
        <v>349</v>
      </c>
      <c r="D48" s="171"/>
      <c r="E48" s="171"/>
      <c r="F48" s="171"/>
      <c r="G48" s="171"/>
      <c r="H48" s="171"/>
      <c r="I48" s="168"/>
      <c r="J48" s="119"/>
    </row>
    <row r="49" spans="1:10" ht="18.75">
      <c r="A49" s="166"/>
      <c r="B49" s="496" t="s">
        <v>333</v>
      </c>
      <c r="C49" s="494" t="s">
        <v>334</v>
      </c>
      <c r="D49" s="498" t="s">
        <v>335</v>
      </c>
      <c r="E49" s="499"/>
      <c r="F49" s="179" t="s">
        <v>336</v>
      </c>
      <c r="G49" s="184" t="s">
        <v>337</v>
      </c>
      <c r="H49" s="182" t="s">
        <v>351</v>
      </c>
      <c r="I49" s="182" t="s">
        <v>352</v>
      </c>
      <c r="J49" s="195" t="s">
        <v>5</v>
      </c>
    </row>
    <row r="50" spans="1:10" ht="18.75">
      <c r="A50" s="166"/>
      <c r="B50" s="497"/>
      <c r="C50" s="495"/>
      <c r="D50" s="181" t="s">
        <v>338</v>
      </c>
      <c r="E50" s="234" t="s">
        <v>339</v>
      </c>
      <c r="F50" s="180" t="s">
        <v>222</v>
      </c>
      <c r="G50" s="185" t="s">
        <v>222</v>
      </c>
      <c r="H50" s="183" t="s">
        <v>222</v>
      </c>
      <c r="I50" s="183" t="s">
        <v>222</v>
      </c>
      <c r="J50" s="196"/>
    </row>
    <row r="51" spans="1:10" ht="18.75">
      <c r="A51" s="166"/>
      <c r="B51" s="325">
        <v>1</v>
      </c>
      <c r="C51" s="438" t="s">
        <v>396</v>
      </c>
      <c r="D51" s="175" t="s">
        <v>397</v>
      </c>
      <c r="E51" s="249">
        <v>1</v>
      </c>
      <c r="F51" s="250">
        <v>130000</v>
      </c>
      <c r="G51" s="251">
        <f>F51*E51</f>
        <v>130000</v>
      </c>
      <c r="H51" s="439">
        <v>130000</v>
      </c>
      <c r="I51" s="439">
        <v>130000</v>
      </c>
      <c r="J51" s="440">
        <f>I51/G51*100</f>
        <v>100</v>
      </c>
    </row>
    <row r="52" spans="1:10" ht="18.75">
      <c r="A52" s="166"/>
      <c r="B52" s="325">
        <f>B51+1</f>
        <v>2</v>
      </c>
      <c r="C52" s="441" t="s">
        <v>398</v>
      </c>
      <c r="D52" s="175" t="s">
        <v>340</v>
      </c>
      <c r="E52" s="249">
        <v>2</v>
      </c>
      <c r="F52" s="250">
        <v>69000</v>
      </c>
      <c r="G52" s="251">
        <f>F52*E52</f>
        <v>138000</v>
      </c>
      <c r="H52" s="439">
        <v>138000</v>
      </c>
      <c r="I52" s="439">
        <v>138000</v>
      </c>
      <c r="J52" s="440">
        <f>I52/G52*100</f>
        <v>100</v>
      </c>
    </row>
    <row r="53" spans="1:10" ht="93.75">
      <c r="A53" s="166"/>
      <c r="B53" s="325">
        <f>B52+1</f>
        <v>3</v>
      </c>
      <c r="C53" s="252" t="s">
        <v>399</v>
      </c>
      <c r="D53" s="175" t="s">
        <v>342</v>
      </c>
      <c r="E53" s="249">
        <v>1</v>
      </c>
      <c r="F53" s="250">
        <v>809000</v>
      </c>
      <c r="G53" s="251">
        <f>F53*E53</f>
        <v>809000</v>
      </c>
      <c r="H53" s="251">
        <v>809000</v>
      </c>
      <c r="I53" s="439">
        <v>805500</v>
      </c>
      <c r="J53" s="440">
        <f>I53/G53*100</f>
        <v>99.567367119901121</v>
      </c>
    </row>
    <row r="54" spans="1:10" ht="18.75">
      <c r="A54" s="166"/>
      <c r="B54" s="496" t="s">
        <v>333</v>
      </c>
      <c r="C54" s="494" t="s">
        <v>334</v>
      </c>
      <c r="D54" s="498" t="s">
        <v>335</v>
      </c>
      <c r="E54" s="499"/>
      <c r="F54" s="179" t="s">
        <v>336</v>
      </c>
      <c r="G54" s="184" t="s">
        <v>337</v>
      </c>
      <c r="H54" s="182" t="s">
        <v>351</v>
      </c>
      <c r="I54" s="182" t="s">
        <v>352</v>
      </c>
      <c r="J54" s="195" t="s">
        <v>5</v>
      </c>
    </row>
    <row r="55" spans="1:10" ht="18.75">
      <c r="A55" s="166"/>
      <c r="B55" s="497"/>
      <c r="C55" s="495"/>
      <c r="D55" s="181" t="s">
        <v>338</v>
      </c>
      <c r="E55" s="235" t="s">
        <v>339</v>
      </c>
      <c r="F55" s="180" t="s">
        <v>222</v>
      </c>
      <c r="G55" s="185" t="s">
        <v>222</v>
      </c>
      <c r="H55" s="183" t="s">
        <v>222</v>
      </c>
      <c r="I55" s="183" t="s">
        <v>222</v>
      </c>
      <c r="J55" s="196"/>
    </row>
    <row r="56" spans="1:10" ht="131.25">
      <c r="A56" s="166"/>
      <c r="B56" s="325"/>
      <c r="C56" s="252" t="s">
        <v>400</v>
      </c>
      <c r="D56" s="175" t="s">
        <v>342</v>
      </c>
      <c r="E56" s="249">
        <v>1</v>
      </c>
      <c r="F56" s="250">
        <v>357000</v>
      </c>
      <c r="G56" s="251">
        <f>F56*E56</f>
        <v>357000</v>
      </c>
      <c r="H56" s="439">
        <v>357000</v>
      </c>
      <c r="I56" s="439">
        <v>357000</v>
      </c>
      <c r="J56" s="440">
        <f>I56/G56*100</f>
        <v>100</v>
      </c>
    </row>
    <row r="57" spans="1:10" ht="18.75">
      <c r="A57" s="166"/>
      <c r="B57" s="172">
        <f>B53+1</f>
        <v>4</v>
      </c>
      <c r="C57" s="253" t="s">
        <v>401</v>
      </c>
      <c r="D57" s="175" t="s">
        <v>340</v>
      </c>
      <c r="E57" s="249">
        <v>1</v>
      </c>
      <c r="F57" s="250">
        <v>50000</v>
      </c>
      <c r="G57" s="251">
        <f>F57*E57</f>
        <v>50000</v>
      </c>
      <c r="H57" s="255">
        <f>G57</f>
        <v>50000</v>
      </c>
      <c r="I57" s="256">
        <v>38600</v>
      </c>
      <c r="J57" s="194">
        <f>I57/G57*100</f>
        <v>77.2</v>
      </c>
    </row>
    <row r="58" spans="1:10" ht="18.75">
      <c r="A58" s="166"/>
      <c r="B58" s="491" t="s">
        <v>38</v>
      </c>
      <c r="C58" s="492"/>
      <c r="D58" s="492"/>
      <c r="E58" s="492"/>
      <c r="F58" s="493"/>
      <c r="G58" s="188">
        <f>SUM(G51:G57)</f>
        <v>1484000</v>
      </c>
      <c r="H58" s="188">
        <f>SUM(H51:H57)</f>
        <v>1484000</v>
      </c>
      <c r="I58" s="189">
        <f>SUM(I51:I57)</f>
        <v>1469100</v>
      </c>
      <c r="J58" s="197">
        <f>I58/G58*100</f>
        <v>98.995956873315365</v>
      </c>
    </row>
    <row r="59" spans="1:10" ht="18.75">
      <c r="A59" s="166"/>
      <c r="B59" s="167" t="s">
        <v>18</v>
      </c>
      <c r="C59" s="169" t="s">
        <v>350</v>
      </c>
      <c r="D59" s="170"/>
      <c r="E59" s="170"/>
      <c r="F59" s="171"/>
      <c r="G59" s="171"/>
      <c r="H59" s="171"/>
      <c r="I59" s="168"/>
      <c r="J59" s="119"/>
    </row>
    <row r="60" spans="1:10" ht="18.75">
      <c r="A60" s="166"/>
      <c r="B60" s="496" t="s">
        <v>333</v>
      </c>
      <c r="C60" s="494" t="s">
        <v>334</v>
      </c>
      <c r="D60" s="498" t="s">
        <v>335</v>
      </c>
      <c r="E60" s="499"/>
      <c r="F60" s="179" t="s">
        <v>336</v>
      </c>
      <c r="G60" s="184" t="s">
        <v>337</v>
      </c>
      <c r="H60" s="182" t="s">
        <v>351</v>
      </c>
      <c r="I60" s="182" t="s">
        <v>352</v>
      </c>
      <c r="J60" s="195" t="s">
        <v>5</v>
      </c>
    </row>
    <row r="61" spans="1:10" ht="18.75">
      <c r="A61" s="166"/>
      <c r="B61" s="497"/>
      <c r="C61" s="495"/>
      <c r="D61" s="181" t="s">
        <v>338</v>
      </c>
      <c r="E61" s="234" t="s">
        <v>339</v>
      </c>
      <c r="F61" s="180" t="s">
        <v>222</v>
      </c>
      <c r="G61" s="185" t="s">
        <v>222</v>
      </c>
      <c r="H61" s="183" t="s">
        <v>222</v>
      </c>
      <c r="I61" s="183" t="s">
        <v>222</v>
      </c>
      <c r="J61" s="196"/>
    </row>
    <row r="62" spans="1:10" ht="84">
      <c r="B62" s="172">
        <v>1</v>
      </c>
      <c r="C62" s="243" t="s">
        <v>402</v>
      </c>
      <c r="D62" s="236" t="s">
        <v>342</v>
      </c>
      <c r="E62" s="246">
        <v>1</v>
      </c>
      <c r="F62" s="247">
        <v>221800</v>
      </c>
      <c r="G62" s="241">
        <f>F62*E62</f>
        <v>221800</v>
      </c>
      <c r="H62" s="192">
        <v>221800</v>
      </c>
      <c r="I62" s="192">
        <v>221800</v>
      </c>
      <c r="J62" s="194">
        <f>I62/G62*100</f>
        <v>100</v>
      </c>
    </row>
    <row r="63" spans="1:10" ht="21">
      <c r="B63" s="172">
        <f>B62+1</f>
        <v>2</v>
      </c>
      <c r="C63" s="238" t="s">
        <v>403</v>
      </c>
      <c r="D63" s="236" t="s">
        <v>342</v>
      </c>
      <c r="E63" s="246">
        <v>1</v>
      </c>
      <c r="F63" s="254">
        <v>400000</v>
      </c>
      <c r="G63" s="241">
        <f>F63*E63</f>
        <v>400000</v>
      </c>
      <c r="H63" s="192">
        <v>400000</v>
      </c>
      <c r="I63" s="186">
        <v>381100</v>
      </c>
      <c r="J63" s="194">
        <f>I63/G63*100</f>
        <v>95.275000000000006</v>
      </c>
    </row>
    <row r="64" spans="1:10" ht="147">
      <c r="B64" s="325">
        <f>B63+1</f>
        <v>3</v>
      </c>
      <c r="C64" s="238" t="s">
        <v>404</v>
      </c>
      <c r="D64" s="236" t="s">
        <v>342</v>
      </c>
      <c r="E64" s="246">
        <v>1</v>
      </c>
      <c r="F64" s="254">
        <v>350000</v>
      </c>
      <c r="G64" s="241">
        <f>F64*E64</f>
        <v>350000</v>
      </c>
      <c r="H64" s="192">
        <v>350000</v>
      </c>
      <c r="I64" s="186">
        <v>349000</v>
      </c>
      <c r="J64" s="222">
        <f>I64/G64*100</f>
        <v>99.714285714285708</v>
      </c>
    </row>
    <row r="65" spans="2:10" ht="18.75">
      <c r="B65" s="491" t="s">
        <v>38</v>
      </c>
      <c r="C65" s="492"/>
      <c r="D65" s="492"/>
      <c r="E65" s="492"/>
      <c r="F65" s="493"/>
      <c r="G65" s="188">
        <f>SUM(G62:G64)</f>
        <v>971800</v>
      </c>
      <c r="H65" s="188">
        <f>SUM(H62:H64)</f>
        <v>971800</v>
      </c>
      <c r="I65" s="189">
        <f>SUM(I62:I64)</f>
        <v>951900</v>
      </c>
      <c r="J65" s="197">
        <f>I65/G65*100</f>
        <v>97.952253550113184</v>
      </c>
    </row>
  </sheetData>
  <mergeCells count="32">
    <mergeCell ref="C2:H2"/>
    <mergeCell ref="D4:E4"/>
    <mergeCell ref="D13:E13"/>
    <mergeCell ref="D20:E20"/>
    <mergeCell ref="B4:B5"/>
    <mergeCell ref="C4:C5"/>
    <mergeCell ref="B11:F11"/>
    <mergeCell ref="B18:F18"/>
    <mergeCell ref="C13:C14"/>
    <mergeCell ref="B13:B14"/>
    <mergeCell ref="B20:B21"/>
    <mergeCell ref="C20:C21"/>
    <mergeCell ref="B34:F34"/>
    <mergeCell ref="B49:B50"/>
    <mergeCell ref="C49:C50"/>
    <mergeCell ref="D49:E49"/>
    <mergeCell ref="B28:F28"/>
    <mergeCell ref="B30:B31"/>
    <mergeCell ref="C30:C31"/>
    <mergeCell ref="D30:E30"/>
    <mergeCell ref="B65:F65"/>
    <mergeCell ref="C60:C61"/>
    <mergeCell ref="B47:F47"/>
    <mergeCell ref="B58:F58"/>
    <mergeCell ref="B37:B38"/>
    <mergeCell ref="C37:C38"/>
    <mergeCell ref="B60:B61"/>
    <mergeCell ref="B54:B55"/>
    <mergeCell ref="C54:C55"/>
    <mergeCell ref="D54:E54"/>
    <mergeCell ref="D60:E60"/>
    <mergeCell ref="D37:E37"/>
  </mergeCells>
  <pageMargins left="0.31496062992125984" right="0.31496062992125984" top="0.70866141732283472" bottom="0.74803149606299213" header="0.39370078740157483" footer="0.39370078740157483"/>
  <pageSetup paperSize="9" scale="85" firstPageNumber="7" orientation="landscape" useFirstPageNumber="1" horizontalDpi="4294967295" verticalDpi="4294967295" r:id="rId1"/>
  <headerFooter>
    <oddHeader>&amp;R&amp;P</oddHeader>
  </headerFooter>
  <rowBreaks count="4" manualBreakCount="4">
    <brk id="18" max="9" man="1"/>
    <brk id="34" max="9" man="1"/>
    <brk id="53" max="9" man="1"/>
    <brk id="65" max="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2"/>
  <sheetViews>
    <sheetView showGridLines="0" view="pageBreakPreview" zoomScaleSheetLayoutView="100" workbookViewId="0">
      <selection activeCell="C20" sqref="C20"/>
    </sheetView>
  </sheetViews>
  <sheetFormatPr defaultRowHeight="18.75"/>
  <cols>
    <col min="1" max="1" width="10.125" style="11" customWidth="1"/>
    <col min="2" max="2" width="8.625" style="11" customWidth="1"/>
    <col min="3" max="9" width="14.125" style="11" customWidth="1"/>
    <col min="10" max="10" width="7.75" style="12" customWidth="1"/>
    <col min="11" max="11" width="13" style="11" bestFit="1" customWidth="1"/>
    <col min="12" max="12" width="16.875" style="11" customWidth="1"/>
    <col min="13" max="16384" width="9" style="11"/>
  </cols>
  <sheetData>
    <row r="1" spans="1:11">
      <c r="A1" s="85" t="s">
        <v>0</v>
      </c>
    </row>
    <row r="2" spans="1:11" ht="19.5" customHeight="1">
      <c r="A2" s="505" t="s">
        <v>1</v>
      </c>
      <c r="B2" s="505"/>
      <c r="C2" s="475" t="s">
        <v>2</v>
      </c>
      <c r="D2" s="467" t="s">
        <v>67</v>
      </c>
      <c r="E2" s="509" t="s">
        <v>3</v>
      </c>
      <c r="F2" s="509"/>
      <c r="G2" s="509"/>
      <c r="H2" s="509"/>
      <c r="I2" s="509" t="s">
        <v>4</v>
      </c>
      <c r="J2" s="505" t="s">
        <v>5</v>
      </c>
    </row>
    <row r="3" spans="1:11" ht="27" customHeight="1">
      <c r="A3" s="505"/>
      <c r="B3" s="505"/>
      <c r="C3" s="475"/>
      <c r="D3" s="470"/>
      <c r="E3" s="82" t="s">
        <v>6</v>
      </c>
      <c r="F3" s="82" t="s">
        <v>7</v>
      </c>
      <c r="G3" s="82" t="s">
        <v>8</v>
      </c>
      <c r="H3" s="82" t="s">
        <v>9</v>
      </c>
      <c r="I3" s="509"/>
      <c r="J3" s="505"/>
    </row>
    <row r="4" spans="1:11" ht="21" customHeight="1">
      <c r="A4" s="508" t="s">
        <v>10</v>
      </c>
      <c r="B4" s="163" t="s">
        <v>11</v>
      </c>
      <c r="C4" s="50">
        <v>66187100</v>
      </c>
      <c r="D4" s="84">
        <f>SUM('S6'!B104)</f>
        <v>71878825.719999999</v>
      </c>
      <c r="E4" s="135">
        <v>17666584.52</v>
      </c>
      <c r="F4" s="135">
        <v>17999627.079999998</v>
      </c>
      <c r="G4" s="135">
        <v>18176033.149999999</v>
      </c>
      <c r="H4" s="107">
        <f>SUM('S6'!B105)-SUM(E4:G4)</f>
        <v>18036580.970000006</v>
      </c>
      <c r="I4" s="131">
        <f t="shared" ref="I4:I18" si="0">SUM(E4:H4)</f>
        <v>71878825.719999999</v>
      </c>
      <c r="J4" s="20">
        <f>SUM(I4/D4*100)</f>
        <v>100</v>
      </c>
      <c r="K4" s="19"/>
    </row>
    <row r="5" spans="1:11" ht="21" customHeight="1">
      <c r="A5" s="508"/>
      <c r="B5" s="163" t="s">
        <v>12</v>
      </c>
      <c r="C5" s="50">
        <v>540960</v>
      </c>
      <c r="D5" s="84">
        <f>SUM('S7'!B104)</f>
        <v>0</v>
      </c>
      <c r="E5" s="135">
        <v>0</v>
      </c>
      <c r="F5" s="135">
        <v>0</v>
      </c>
      <c r="G5" s="127">
        <v>0</v>
      </c>
      <c r="H5" s="107">
        <f>SUM('S7'!B105)</f>
        <v>0</v>
      </c>
      <c r="I5" s="131">
        <f t="shared" si="0"/>
        <v>0</v>
      </c>
      <c r="J5" s="20">
        <v>0</v>
      </c>
      <c r="K5" s="19"/>
    </row>
    <row r="6" spans="1:11" ht="21" customHeight="1">
      <c r="A6" s="508"/>
      <c r="B6" s="163" t="s">
        <v>4</v>
      </c>
      <c r="C6" s="50">
        <v>66728060</v>
      </c>
      <c r="D6" s="84">
        <f>SUM(D4,D5)</f>
        <v>71878825.719999999</v>
      </c>
      <c r="E6" s="135">
        <v>17666584.52</v>
      </c>
      <c r="F6" s="135">
        <v>17999627.079999998</v>
      </c>
      <c r="G6" s="135">
        <v>18176033.149999999</v>
      </c>
      <c r="H6" s="84">
        <f>SUM(H4:H5)</f>
        <v>18036580.970000006</v>
      </c>
      <c r="I6" s="131">
        <f t="shared" si="0"/>
        <v>71878825.719999999</v>
      </c>
      <c r="J6" s="20">
        <f t="shared" ref="J6:J21" si="1">SUM(I6/D6*100)</f>
        <v>100</v>
      </c>
      <c r="K6" s="19"/>
    </row>
    <row r="7" spans="1:11" ht="21" customHeight="1">
      <c r="A7" s="506" t="s">
        <v>13</v>
      </c>
      <c r="B7" s="380" t="s">
        <v>11</v>
      </c>
      <c r="C7" s="111">
        <v>42926600</v>
      </c>
      <c r="D7" s="200">
        <f>SUM('S6'!C104)</f>
        <v>41998984.460000001</v>
      </c>
      <c r="E7" s="199">
        <v>10969499.279999999</v>
      </c>
      <c r="F7" s="199">
        <v>10080179.42</v>
      </c>
      <c r="G7" s="199">
        <v>8116405.1100000003</v>
      </c>
      <c r="H7" s="201">
        <f>SUM('S6'!C105)-SUM(E7:G7)</f>
        <v>11592564.760000002</v>
      </c>
      <c r="I7" s="199">
        <f t="shared" si="0"/>
        <v>40758648.57</v>
      </c>
      <c r="J7" s="200">
        <f t="shared" si="1"/>
        <v>97.046747901294367</v>
      </c>
      <c r="K7" s="19"/>
    </row>
    <row r="8" spans="1:11" ht="21" customHeight="1">
      <c r="A8" s="506"/>
      <c r="B8" s="380" t="s">
        <v>12</v>
      </c>
      <c r="C8" s="111">
        <v>56286170</v>
      </c>
      <c r="D8" s="200">
        <f>SUM('S7'!C104)</f>
        <v>63649555.210000001</v>
      </c>
      <c r="E8" s="199">
        <v>10858029.83</v>
      </c>
      <c r="F8" s="199">
        <v>10760975.85</v>
      </c>
      <c r="G8" s="199">
        <v>14735299.17</v>
      </c>
      <c r="H8" s="201">
        <f>SUM('S7'!C105)-SUM(E8:G8)</f>
        <v>16225347.769999996</v>
      </c>
      <c r="I8" s="199">
        <f t="shared" si="0"/>
        <v>52579652.619999997</v>
      </c>
      <c r="J8" s="200">
        <f t="shared" si="1"/>
        <v>82.608044072771776</v>
      </c>
      <c r="K8" s="19"/>
    </row>
    <row r="9" spans="1:11" ht="21" customHeight="1">
      <c r="A9" s="506"/>
      <c r="B9" s="380" t="s">
        <v>4</v>
      </c>
      <c r="C9" s="111">
        <v>99212770</v>
      </c>
      <c r="D9" s="200">
        <f>SUM(D7,D8)</f>
        <v>105648539.67</v>
      </c>
      <c r="E9" s="199">
        <v>21827529.109999999</v>
      </c>
      <c r="F9" s="199">
        <f>SUM(F7:F8)</f>
        <v>20841155.27</v>
      </c>
      <c r="G9" s="199">
        <v>22851704.280000001</v>
      </c>
      <c r="H9" s="200">
        <f>SUM(H7:H8)</f>
        <v>27817912.529999997</v>
      </c>
      <c r="I9" s="199">
        <f t="shared" si="0"/>
        <v>93338301.189999998</v>
      </c>
      <c r="J9" s="200">
        <f t="shared" si="1"/>
        <v>88.347933139017528</v>
      </c>
      <c r="K9" s="19"/>
    </row>
    <row r="10" spans="1:11" ht="21" customHeight="1">
      <c r="A10" s="507" t="s">
        <v>14</v>
      </c>
      <c r="B10" s="162" t="s">
        <v>11</v>
      </c>
      <c r="C10" s="161">
        <v>138887900</v>
      </c>
      <c r="D10" s="84">
        <f>SUM('S6'!D104)</f>
        <v>134763754.19</v>
      </c>
      <c r="E10" s="135">
        <v>11066405</v>
      </c>
      <c r="F10" s="135">
        <v>27112180</v>
      </c>
      <c r="G10" s="135">
        <v>49248915</v>
      </c>
      <c r="H10" s="95">
        <f>SUM('S6'!D105)-SUM(E10:G10)</f>
        <v>13835950</v>
      </c>
      <c r="I10" s="131">
        <f t="shared" si="0"/>
        <v>101263450</v>
      </c>
      <c r="J10" s="20">
        <f t="shared" si="1"/>
        <v>75.141458182614315</v>
      </c>
      <c r="K10" s="19"/>
    </row>
    <row r="11" spans="1:11" ht="21" customHeight="1">
      <c r="A11" s="507"/>
      <c r="B11" s="162" t="s">
        <v>12</v>
      </c>
      <c r="C11" s="161">
        <v>1639390</v>
      </c>
      <c r="D11" s="84">
        <f>SUM('S7'!D104)</f>
        <v>4915432</v>
      </c>
      <c r="E11" s="135">
        <v>580285</v>
      </c>
      <c r="F11" s="135">
        <v>2419980</v>
      </c>
      <c r="G11" s="135">
        <v>1068540</v>
      </c>
      <c r="H11" s="95">
        <f>SUM('S7'!D105)-SUM(E11:G11)</f>
        <v>170020</v>
      </c>
      <c r="I11" s="131">
        <f t="shared" si="0"/>
        <v>4238825</v>
      </c>
      <c r="J11" s="20">
        <f t="shared" si="1"/>
        <v>86.235045058094585</v>
      </c>
      <c r="K11" s="19"/>
    </row>
    <row r="12" spans="1:11" ht="21" customHeight="1">
      <c r="A12" s="507"/>
      <c r="B12" s="162" t="s">
        <v>4</v>
      </c>
      <c r="C12" s="161">
        <v>140527290</v>
      </c>
      <c r="D12" s="84">
        <f>SUM(D10:D11)</f>
        <v>139679186.19</v>
      </c>
      <c r="E12" s="135">
        <v>11646690</v>
      </c>
      <c r="F12" s="135">
        <v>29532160</v>
      </c>
      <c r="G12" s="135">
        <v>50317455</v>
      </c>
      <c r="H12" s="84">
        <f>SUM(H10:H11)</f>
        <v>14005970</v>
      </c>
      <c r="I12" s="131">
        <f t="shared" si="0"/>
        <v>105502275</v>
      </c>
      <c r="J12" s="20">
        <f t="shared" si="1"/>
        <v>75.531851149597543</v>
      </c>
      <c r="K12" s="19"/>
    </row>
    <row r="13" spans="1:11" ht="21" customHeight="1">
      <c r="A13" s="506" t="s">
        <v>15</v>
      </c>
      <c r="B13" s="380" t="s">
        <v>11</v>
      </c>
      <c r="C13" s="111">
        <v>156157100</v>
      </c>
      <c r="D13" s="200">
        <f>SUM('S6'!E104)</f>
        <v>192949287.34999999</v>
      </c>
      <c r="E13" s="199">
        <v>50163187.549999997</v>
      </c>
      <c r="F13" s="199">
        <v>46269615.689999998</v>
      </c>
      <c r="G13" s="199">
        <v>49095129.399999999</v>
      </c>
      <c r="H13" s="201">
        <f>SUM('S6'!E105)-SUM(E13:G13)</f>
        <v>46994530.729999989</v>
      </c>
      <c r="I13" s="199">
        <f t="shared" si="0"/>
        <v>192522463.36999997</v>
      </c>
      <c r="J13" s="200">
        <f t="shared" si="1"/>
        <v>99.77878955353394</v>
      </c>
      <c r="K13" s="19"/>
    </row>
    <row r="14" spans="1:11" ht="21" customHeight="1">
      <c r="A14" s="506"/>
      <c r="B14" s="380" t="s">
        <v>12</v>
      </c>
      <c r="C14" s="111">
        <v>35061500</v>
      </c>
      <c r="D14" s="200">
        <f>SUM('S7'!E104)</f>
        <v>34944100</v>
      </c>
      <c r="E14" s="199">
        <v>3696098.6</v>
      </c>
      <c r="F14" s="199">
        <v>4617890.8099999996</v>
      </c>
      <c r="G14" s="199">
        <v>3498268.75</v>
      </c>
      <c r="H14" s="201">
        <f>SUM('S7'!E105)-SUM(E14:G14)</f>
        <v>12588643.23</v>
      </c>
      <c r="I14" s="199">
        <f t="shared" si="0"/>
        <v>24400901.390000001</v>
      </c>
      <c r="J14" s="200">
        <f t="shared" si="1"/>
        <v>69.828387023846659</v>
      </c>
      <c r="K14" s="19"/>
    </row>
    <row r="15" spans="1:11" ht="21" customHeight="1">
      <c r="A15" s="506"/>
      <c r="B15" s="380" t="s">
        <v>4</v>
      </c>
      <c r="C15" s="111">
        <v>191218600</v>
      </c>
      <c r="D15" s="200">
        <f>SUM(D13:D14)</f>
        <v>227893387.34999999</v>
      </c>
      <c r="E15" s="199">
        <v>53859286.149999999</v>
      </c>
      <c r="F15" s="199">
        <v>50887506.5</v>
      </c>
      <c r="G15" s="199">
        <v>52593398.149999999</v>
      </c>
      <c r="H15" s="200">
        <f>SUM(H13:H14)</f>
        <v>59583173.959999993</v>
      </c>
      <c r="I15" s="199">
        <f t="shared" si="0"/>
        <v>216923364.75999999</v>
      </c>
      <c r="J15" s="200">
        <f t="shared" si="1"/>
        <v>95.186335717081533</v>
      </c>
      <c r="K15" s="19"/>
    </row>
    <row r="16" spans="1:11" ht="21" customHeight="1">
      <c r="A16" s="508" t="s">
        <v>16</v>
      </c>
      <c r="B16" s="163" t="s">
        <v>11</v>
      </c>
      <c r="C16" s="161">
        <v>45342000</v>
      </c>
      <c r="D16" s="84">
        <f>SUM('S6'!F104)</f>
        <v>45842418.920000002</v>
      </c>
      <c r="E16" s="135">
        <v>4038555.29</v>
      </c>
      <c r="F16" s="135">
        <v>7055247.4299999997</v>
      </c>
      <c r="G16" s="135">
        <v>14990397.34</v>
      </c>
      <c r="H16" s="107">
        <f>SUM('S6'!F105)-SUM(E16:G16)</f>
        <v>19758218.860000003</v>
      </c>
      <c r="I16" s="131">
        <f t="shared" si="0"/>
        <v>45842418.920000002</v>
      </c>
      <c r="J16" s="20">
        <f t="shared" si="1"/>
        <v>100</v>
      </c>
      <c r="K16" s="19"/>
    </row>
    <row r="17" spans="1:15" ht="21" customHeight="1">
      <c r="A17" s="508"/>
      <c r="B17" s="163" t="s">
        <v>12</v>
      </c>
      <c r="C17" s="161">
        <v>9803020</v>
      </c>
      <c r="D17" s="84">
        <f>SUM('S7'!F104)</f>
        <v>7658019.79</v>
      </c>
      <c r="E17" s="135">
        <v>1513619.92</v>
      </c>
      <c r="F17" s="135">
        <v>1901128.34</v>
      </c>
      <c r="G17" s="135">
        <v>672427.99</v>
      </c>
      <c r="H17" s="107">
        <f>SUM('S7'!F105)-SUM(E17:G17)</f>
        <v>1446146.7800000003</v>
      </c>
      <c r="I17" s="131">
        <f t="shared" si="0"/>
        <v>5533323.0300000003</v>
      </c>
      <c r="J17" s="20">
        <f t="shared" si="1"/>
        <v>72.255272012035377</v>
      </c>
      <c r="K17" s="19"/>
    </row>
    <row r="18" spans="1:15" ht="21" customHeight="1">
      <c r="A18" s="508"/>
      <c r="B18" s="163" t="s">
        <v>4</v>
      </c>
      <c r="C18" s="161">
        <v>55145020</v>
      </c>
      <c r="D18" s="84">
        <f>SUM(D16:D17)</f>
        <v>53500438.710000001</v>
      </c>
      <c r="E18" s="135">
        <v>5552175.21</v>
      </c>
      <c r="F18" s="135">
        <v>8956375.7699999996</v>
      </c>
      <c r="G18" s="135">
        <v>15662825.33</v>
      </c>
      <c r="H18" s="84">
        <f>SUM(H16:H17)</f>
        <v>21204365.640000004</v>
      </c>
      <c r="I18" s="131">
        <f t="shared" si="0"/>
        <v>51375741.950000003</v>
      </c>
      <c r="J18" s="20">
        <f t="shared" si="1"/>
        <v>96.028636752836832</v>
      </c>
      <c r="K18" s="19"/>
    </row>
    <row r="19" spans="1:15" ht="21" customHeight="1">
      <c r="A19" s="504" t="s">
        <v>4</v>
      </c>
      <c r="B19" s="394" t="s">
        <v>11</v>
      </c>
      <c r="C19" s="395">
        <f t="shared" ref="C19:D21" si="2">SUM(C4,C7,C10,C13,C16)</f>
        <v>449500700</v>
      </c>
      <c r="D19" s="395">
        <f t="shared" si="2"/>
        <v>487433270.64000005</v>
      </c>
      <c r="E19" s="396">
        <v>93904231.640000001</v>
      </c>
      <c r="F19" s="396">
        <f>SUM(F4,F7,F10,F13,F16)</f>
        <v>108516849.62</v>
      </c>
      <c r="G19" s="396">
        <v>139626880</v>
      </c>
      <c r="H19" s="395">
        <f>SUM(H4,H7,H10,H13,H16)</f>
        <v>110217845.31999999</v>
      </c>
      <c r="I19" s="395">
        <f>SUM(I4,I7,I10,I13,I16)</f>
        <v>452265806.57999998</v>
      </c>
      <c r="J19" s="395">
        <f t="shared" si="1"/>
        <v>92.78517364770255</v>
      </c>
      <c r="K19" s="19"/>
      <c r="L19" s="89">
        <f>SUM(E19:F19)</f>
        <v>202421081.25999999</v>
      </c>
    </row>
    <row r="20" spans="1:15" ht="21" customHeight="1">
      <c r="A20" s="504"/>
      <c r="B20" s="394" t="s">
        <v>12</v>
      </c>
      <c r="C20" s="395">
        <f t="shared" si="2"/>
        <v>103331040</v>
      </c>
      <c r="D20" s="395">
        <f t="shared" si="2"/>
        <v>111167107.00000001</v>
      </c>
      <c r="E20" s="396">
        <v>16648033.35</v>
      </c>
      <c r="F20" s="396">
        <f t="shared" ref="F20:F21" si="3">SUM(F5,F8,F11,F14,F17)</f>
        <v>19699975</v>
      </c>
      <c r="G20" s="396">
        <v>19974535.91</v>
      </c>
      <c r="H20" s="395">
        <f>SUM(H5,H8,H11,H14,H17)</f>
        <v>30430157.779999997</v>
      </c>
      <c r="I20" s="395">
        <f t="shared" ref="I20:I21" si="4">SUM(I5,I8,I11,I14,I17)</f>
        <v>86752702.039999992</v>
      </c>
      <c r="J20" s="395">
        <f t="shared" si="1"/>
        <v>78.038103519236117</v>
      </c>
      <c r="K20" s="19"/>
      <c r="L20" s="90">
        <f>SUM(E20:F20)</f>
        <v>36348008.350000001</v>
      </c>
    </row>
    <row r="21" spans="1:15" ht="21" customHeight="1">
      <c r="A21" s="504"/>
      <c r="B21" s="394" t="s">
        <v>4</v>
      </c>
      <c r="C21" s="395">
        <f t="shared" si="2"/>
        <v>552831740</v>
      </c>
      <c r="D21" s="395">
        <f t="shared" si="2"/>
        <v>598600377.63999999</v>
      </c>
      <c r="E21" s="396">
        <v>110552264.98999999</v>
      </c>
      <c r="F21" s="396">
        <f t="shared" si="3"/>
        <v>128216824.61999999</v>
      </c>
      <c r="G21" s="396">
        <v>159601415.91</v>
      </c>
      <c r="H21" s="395">
        <f>SUM(H6,H9,H12,H15,H18)</f>
        <v>140648003.09999999</v>
      </c>
      <c r="I21" s="395">
        <f t="shared" si="4"/>
        <v>539018508.62</v>
      </c>
      <c r="J21" s="395">
        <f t="shared" si="1"/>
        <v>90.046469857753294</v>
      </c>
      <c r="K21" s="19"/>
      <c r="L21" s="19">
        <f>SUM(L19:L20)</f>
        <v>238769089.60999998</v>
      </c>
    </row>
    <row r="22" spans="1:15">
      <c r="L22" s="19">
        <f>แผ่นดิน!S133</f>
        <v>0</v>
      </c>
    </row>
    <row r="23" spans="1:15">
      <c r="L23" s="19">
        <f>รายได้!S160</f>
        <v>0</v>
      </c>
    </row>
    <row r="26" spans="1:15" ht="19.5">
      <c r="K26" s="142" t="s">
        <v>37</v>
      </c>
      <c r="L26" s="142" t="s">
        <v>75</v>
      </c>
      <c r="M26" s="142" t="s">
        <v>76</v>
      </c>
      <c r="N26" s="142" t="s">
        <v>214</v>
      </c>
      <c r="O26" s="142" t="s">
        <v>5</v>
      </c>
    </row>
    <row r="27" spans="1:15" ht="39">
      <c r="K27" s="143" t="s">
        <v>277</v>
      </c>
      <c r="L27" s="144">
        <v>75987400</v>
      </c>
      <c r="M27" s="144">
        <v>209280</v>
      </c>
      <c r="N27" s="144">
        <v>76196680</v>
      </c>
      <c r="O27" s="145">
        <v>10.99</v>
      </c>
    </row>
    <row r="28" spans="1:15" ht="39">
      <c r="K28" s="143" t="s">
        <v>278</v>
      </c>
      <c r="L28" s="144">
        <v>59900600</v>
      </c>
      <c r="M28" s="144">
        <v>47652497</v>
      </c>
      <c r="N28" s="144">
        <v>107553097</v>
      </c>
      <c r="O28" s="145">
        <v>15.52</v>
      </c>
    </row>
    <row r="29" spans="1:15" ht="39">
      <c r="K29" s="143" t="s">
        <v>279</v>
      </c>
      <c r="L29" s="144">
        <v>210686500</v>
      </c>
      <c r="M29" s="144">
        <v>2319593</v>
      </c>
      <c r="N29" s="144">
        <v>213006093</v>
      </c>
      <c r="O29" s="145">
        <v>30.73</v>
      </c>
    </row>
    <row r="30" spans="1:15" ht="39">
      <c r="K30" s="143" t="s">
        <v>280</v>
      </c>
      <c r="L30" s="144">
        <v>225770700</v>
      </c>
      <c r="M30" s="144">
        <v>21716300</v>
      </c>
      <c r="N30" s="144">
        <v>247487000</v>
      </c>
      <c r="O30" s="145">
        <v>35.700000000000003</v>
      </c>
    </row>
    <row r="31" spans="1:15" ht="39">
      <c r="K31" s="143" t="s">
        <v>281</v>
      </c>
      <c r="L31" s="144">
        <v>25507800</v>
      </c>
      <c r="M31" s="144">
        <v>23398530</v>
      </c>
      <c r="N31" s="144">
        <v>48906330</v>
      </c>
      <c r="O31" s="145">
        <v>7.06</v>
      </c>
    </row>
    <row r="32" spans="1:15" ht="30">
      <c r="K32" s="146" t="s">
        <v>38</v>
      </c>
      <c r="L32" s="147"/>
      <c r="M32" s="147"/>
      <c r="N32" s="148">
        <v>693149200</v>
      </c>
      <c r="O32" s="149">
        <v>100</v>
      </c>
    </row>
  </sheetData>
  <mergeCells count="12">
    <mergeCell ref="A19:A21"/>
    <mergeCell ref="J2:J3"/>
    <mergeCell ref="A7:A9"/>
    <mergeCell ref="A10:A12"/>
    <mergeCell ref="A13:A15"/>
    <mergeCell ref="A16:A18"/>
    <mergeCell ref="A4:A6"/>
    <mergeCell ref="A2:B3"/>
    <mergeCell ref="C2:C3"/>
    <mergeCell ref="E2:H2"/>
    <mergeCell ref="I2:I3"/>
    <mergeCell ref="D2:D3"/>
  </mergeCells>
  <pageMargins left="0.74803149606299213" right="0.43307086614173229" top="0.9055118110236221" bottom="0.62992125984251968" header="0.39370078740157483" footer="0.51181102362204722"/>
  <pageSetup paperSize="9" firstPageNumber="12" orientation="landscape" useFirstPageNumber="1" r:id="rId1"/>
  <headerFooter>
    <oddHeader>&amp;R&amp;P</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N26"/>
  <sheetViews>
    <sheetView workbookViewId="0">
      <selection activeCell="A4" sqref="A4:J24"/>
    </sheetView>
  </sheetViews>
  <sheetFormatPr defaultRowHeight="19.5" customHeight="1"/>
  <cols>
    <col min="1" max="1" width="24.625" style="19" customWidth="1"/>
    <col min="2" max="8" width="12.5" style="19" customWidth="1"/>
    <col min="9" max="9" width="5.875" style="19" customWidth="1"/>
    <col min="10" max="10" width="8.875" style="19" customWidth="1"/>
    <col min="11" max="11" width="13" style="19" bestFit="1" customWidth="1"/>
    <col min="12" max="12" width="30.875" style="19" bestFit="1" customWidth="1"/>
    <col min="13" max="13" width="11.625" style="19" bestFit="1" customWidth="1"/>
    <col min="14" max="16384" width="9" style="19"/>
  </cols>
  <sheetData>
    <row r="1" spans="1:13" ht="19.5" customHeight="1">
      <c r="A1" s="27" t="s">
        <v>17</v>
      </c>
    </row>
    <row r="2" spans="1:13" ht="19.5" customHeight="1">
      <c r="A2" s="512" t="s">
        <v>18</v>
      </c>
      <c r="B2" s="512" t="s">
        <v>2</v>
      </c>
      <c r="C2" s="510" t="s">
        <v>67</v>
      </c>
      <c r="D2" s="514" t="s">
        <v>3</v>
      </c>
      <c r="E2" s="515"/>
      <c r="F2" s="515"/>
      <c r="G2" s="516"/>
      <c r="H2" s="512" t="s">
        <v>4</v>
      </c>
      <c r="I2" s="512" t="s">
        <v>5</v>
      </c>
      <c r="J2" s="510" t="s">
        <v>483</v>
      </c>
    </row>
    <row r="3" spans="1:13" ht="19.5" customHeight="1">
      <c r="A3" s="513"/>
      <c r="B3" s="513"/>
      <c r="C3" s="511"/>
      <c r="D3" s="28" t="s">
        <v>6</v>
      </c>
      <c r="E3" s="28" t="s">
        <v>7</v>
      </c>
      <c r="F3" s="28" t="s">
        <v>8</v>
      </c>
      <c r="G3" s="28" t="s">
        <v>9</v>
      </c>
      <c r="H3" s="513"/>
      <c r="I3" s="513"/>
      <c r="J3" s="511"/>
      <c r="L3" s="19" t="s">
        <v>210</v>
      </c>
    </row>
    <row r="4" spans="1:13" ht="19.5" customHeight="1">
      <c r="A4" s="51" t="s">
        <v>19</v>
      </c>
      <c r="B4" s="50">
        <v>14928200</v>
      </c>
      <c r="C4" s="50">
        <f>SUM('S6'!G5+'S7'!G5)</f>
        <v>14105489.689999999</v>
      </c>
      <c r="D4" s="135">
        <v>1571028.9</v>
      </c>
      <c r="E4" s="135">
        <v>2319923.48</v>
      </c>
      <c r="F4" s="135">
        <v>5735931.2800000003</v>
      </c>
      <c r="G4" s="50">
        <f>SUM('S6'!G6+'S7'!G6)-SUM(D4:F4)</f>
        <v>4362136.0299999993</v>
      </c>
      <c r="H4" s="135">
        <f t="shared" ref="H4:H23" si="0">SUM(D4:G4)</f>
        <v>13989019.689999999</v>
      </c>
      <c r="I4" s="50">
        <f>SUM(H4/C4*100)</f>
        <v>99.174293111691327</v>
      </c>
      <c r="J4" s="52" t="s">
        <v>484</v>
      </c>
      <c r="K4" s="50"/>
      <c r="L4" s="32"/>
      <c r="M4" s="33"/>
    </row>
    <row r="5" spans="1:13" ht="19.5" customHeight="1">
      <c r="A5" s="51" t="s">
        <v>20</v>
      </c>
      <c r="B5" s="50">
        <v>14614100</v>
      </c>
      <c r="C5" s="50">
        <f>SUM('S6'!G10+'S7'!G10)</f>
        <v>14670844.68</v>
      </c>
      <c r="D5" s="135">
        <v>3676219.15</v>
      </c>
      <c r="E5" s="135">
        <v>2301702.1</v>
      </c>
      <c r="F5" s="135">
        <v>4192183.16</v>
      </c>
      <c r="G5" s="50">
        <f>SUM('S6'!G11+'S7'!G11)-SUM(D5:F5)</f>
        <v>3468147.6899999995</v>
      </c>
      <c r="H5" s="135">
        <f t="shared" si="0"/>
        <v>13638252.1</v>
      </c>
      <c r="I5" s="50">
        <f t="shared" ref="I5:I23" si="1">SUM(H5/C5*100)</f>
        <v>92.961601035776226</v>
      </c>
      <c r="J5" s="52" t="s">
        <v>484</v>
      </c>
      <c r="K5" s="50"/>
      <c r="L5" s="32"/>
      <c r="M5" s="33"/>
    </row>
    <row r="6" spans="1:13" ht="19.5" customHeight="1">
      <c r="A6" s="51" t="s">
        <v>21</v>
      </c>
      <c r="B6" s="50">
        <v>15424400</v>
      </c>
      <c r="C6" s="50">
        <f>SUM('S6'!G15+'S7'!G15)</f>
        <v>12692538.399999999</v>
      </c>
      <c r="D6" s="135">
        <v>3246303.74</v>
      </c>
      <c r="E6" s="135">
        <v>3458321.03</v>
      </c>
      <c r="F6" s="135">
        <v>3037715.96</v>
      </c>
      <c r="G6" s="50">
        <f>SUM('S6'!G16+'S7'!G16)-SUM(D6:F6)</f>
        <v>2382246.6199999992</v>
      </c>
      <c r="H6" s="135">
        <f t="shared" si="0"/>
        <v>12124587.35</v>
      </c>
      <c r="I6" s="50">
        <f t="shared" si="1"/>
        <v>95.525315487719936</v>
      </c>
      <c r="J6" s="52" t="s">
        <v>484</v>
      </c>
      <c r="K6" s="50"/>
      <c r="L6" s="32"/>
      <c r="M6" s="33"/>
    </row>
    <row r="7" spans="1:13" ht="19.5" customHeight="1">
      <c r="A7" s="51" t="s">
        <v>22</v>
      </c>
      <c r="B7" s="50">
        <v>10749900</v>
      </c>
      <c r="C7" s="50">
        <f>SUM('S6'!G20+'S7'!G20)</f>
        <v>11301284</v>
      </c>
      <c r="D7" s="135">
        <v>3323801.99</v>
      </c>
      <c r="E7" s="135">
        <v>2150879.6</v>
      </c>
      <c r="F7" s="135">
        <v>2991244.61</v>
      </c>
      <c r="G7" s="50">
        <f>SUM('S6'!G21+'S7'!G21)-SUM(D7:F7)</f>
        <v>2794399.1300000008</v>
      </c>
      <c r="H7" s="135">
        <f t="shared" si="0"/>
        <v>11260325.33</v>
      </c>
      <c r="I7" s="50">
        <f t="shared" si="1"/>
        <v>99.637575075540084</v>
      </c>
      <c r="J7" s="52" t="s">
        <v>484</v>
      </c>
      <c r="K7" s="50"/>
      <c r="L7" s="32"/>
      <c r="M7" s="33"/>
    </row>
    <row r="8" spans="1:13" ht="19.5" customHeight="1">
      <c r="A8" s="51" t="s">
        <v>23</v>
      </c>
      <c r="B8" s="50">
        <v>11409500</v>
      </c>
      <c r="C8" s="50">
        <f>SUM('S6'!G25+'S7'!G25)</f>
        <v>9000812.25</v>
      </c>
      <c r="D8" s="135">
        <v>1425520.75</v>
      </c>
      <c r="E8" s="135">
        <v>2108279.6</v>
      </c>
      <c r="F8" s="135">
        <v>2532741.5</v>
      </c>
      <c r="G8" s="50">
        <f>SUM('S6'!G26+'S7'!G26)-SUM(D8:F8)</f>
        <v>2828028.6000000015</v>
      </c>
      <c r="H8" s="135">
        <f t="shared" si="0"/>
        <v>8894570.4500000011</v>
      </c>
      <c r="I8" s="50">
        <f t="shared" si="1"/>
        <v>98.819642082857598</v>
      </c>
      <c r="J8" s="52" t="s">
        <v>484</v>
      </c>
      <c r="K8" s="50"/>
      <c r="L8" s="32"/>
      <c r="M8" s="33"/>
    </row>
    <row r="9" spans="1:13" ht="19.5" customHeight="1">
      <c r="A9" s="51" t="s">
        <v>24</v>
      </c>
      <c r="B9" s="50">
        <v>6769200</v>
      </c>
      <c r="C9" s="50">
        <f>SUM('S6'!G30+'S7'!G30)</f>
        <v>5583011.4100000001</v>
      </c>
      <c r="D9" s="135">
        <v>1273038.07</v>
      </c>
      <c r="E9" s="135">
        <v>750834.36</v>
      </c>
      <c r="F9" s="135">
        <v>1513254.23</v>
      </c>
      <c r="G9" s="50">
        <f>SUM('S6'!G31+'S7'!G31)-SUM(D9:F9)</f>
        <v>1203225.459999999</v>
      </c>
      <c r="H9" s="135">
        <f t="shared" si="0"/>
        <v>4740352.1199999992</v>
      </c>
      <c r="I9" s="50">
        <f>SUM(H9/C9*100)</f>
        <v>84.906724559246399</v>
      </c>
      <c r="J9" s="52" t="s">
        <v>484</v>
      </c>
      <c r="K9" s="50"/>
      <c r="L9" s="32"/>
      <c r="M9" s="33"/>
    </row>
    <row r="10" spans="1:13" ht="19.5" customHeight="1">
      <c r="A10" s="68" t="s">
        <v>25</v>
      </c>
      <c r="B10" s="50">
        <v>7124400</v>
      </c>
      <c r="C10" s="50">
        <f>SUM('S6'!G35+'S7'!G35)</f>
        <v>6906974.1400000006</v>
      </c>
      <c r="D10" s="135">
        <v>599255.28</v>
      </c>
      <c r="E10" s="135">
        <v>2862318.46</v>
      </c>
      <c r="F10" s="135">
        <v>1378074.71</v>
      </c>
      <c r="G10" s="50">
        <f>SUM('S6'!G36+'S7'!G36)-SUM(D10:F10)</f>
        <v>1968223.7399999993</v>
      </c>
      <c r="H10" s="135">
        <f t="shared" si="0"/>
        <v>6807872.1899999995</v>
      </c>
      <c r="I10" s="50">
        <f t="shared" si="1"/>
        <v>98.565190081919127</v>
      </c>
      <c r="J10" s="52" t="s">
        <v>484</v>
      </c>
      <c r="K10" s="50"/>
      <c r="L10" s="32"/>
      <c r="M10" s="33"/>
    </row>
    <row r="11" spans="1:13" ht="19.5" customHeight="1">
      <c r="A11" s="51" t="s">
        <v>26</v>
      </c>
      <c r="B11" s="50">
        <v>2583100</v>
      </c>
      <c r="C11" s="50">
        <f>SUM('S6'!G40+'S7'!G40)</f>
        <v>2677611.9</v>
      </c>
      <c r="D11" s="135">
        <v>67421.929999999993</v>
      </c>
      <c r="E11" s="135">
        <v>1073337.79</v>
      </c>
      <c r="F11" s="135">
        <v>457147.72</v>
      </c>
      <c r="G11" s="50">
        <f>SUM('S6'!G41+'S7'!G41)-SUM(D11:F11)</f>
        <v>865074.26000000024</v>
      </c>
      <c r="H11" s="135">
        <f t="shared" si="0"/>
        <v>2462981.7000000002</v>
      </c>
      <c r="I11" s="50">
        <f t="shared" si="1"/>
        <v>91.984267772338484</v>
      </c>
      <c r="J11" s="52" t="s">
        <v>484</v>
      </c>
      <c r="K11" s="50"/>
      <c r="L11" s="32"/>
      <c r="M11" s="33"/>
    </row>
    <row r="12" spans="1:13" ht="19.5" customHeight="1">
      <c r="A12" s="51" t="s">
        <v>27</v>
      </c>
      <c r="B12" s="50">
        <v>1900700</v>
      </c>
      <c r="C12" s="50">
        <f>SUM('S6'!G45+'S7'!G45)</f>
        <v>1791844</v>
      </c>
      <c r="D12" s="135">
        <v>317090</v>
      </c>
      <c r="E12" s="135">
        <v>221437</v>
      </c>
      <c r="F12" s="135">
        <v>604998</v>
      </c>
      <c r="G12" s="50">
        <f>SUM('S6'!G46+'S7'!G46)-SUM(D12:F12)</f>
        <v>626735</v>
      </c>
      <c r="H12" s="135">
        <f t="shared" si="0"/>
        <v>1770260</v>
      </c>
      <c r="I12" s="50">
        <f t="shared" si="1"/>
        <v>98.795430852239377</v>
      </c>
      <c r="J12" s="52" t="s">
        <v>484</v>
      </c>
      <c r="K12" s="50"/>
      <c r="L12" s="32"/>
      <c r="M12" s="33"/>
    </row>
    <row r="13" spans="1:13" ht="19.5" customHeight="1">
      <c r="A13" s="51" t="s">
        <v>28</v>
      </c>
      <c r="B13" s="50">
        <v>90000</v>
      </c>
      <c r="C13" s="50">
        <f>SUM('S6'!G50+'S7'!G50)</f>
        <v>90000</v>
      </c>
      <c r="D13" s="135">
        <v>6085</v>
      </c>
      <c r="E13" s="135">
        <v>2500</v>
      </c>
      <c r="F13" s="135">
        <v>0</v>
      </c>
      <c r="G13" s="50">
        <f>SUM('S6'!G51+'S7'!G51)-SUM(D13:F13)</f>
        <v>50534</v>
      </c>
      <c r="H13" s="135">
        <f t="shared" si="0"/>
        <v>59119</v>
      </c>
      <c r="I13" s="50">
        <f t="shared" si="1"/>
        <v>65.687777777777782</v>
      </c>
      <c r="J13" s="52" t="s">
        <v>484</v>
      </c>
      <c r="K13" s="50"/>
      <c r="L13" s="32"/>
      <c r="M13" s="33"/>
    </row>
    <row r="14" spans="1:13" ht="19.5" customHeight="1">
      <c r="A14" s="51" t="s">
        <v>29</v>
      </c>
      <c r="B14" s="50">
        <v>135000</v>
      </c>
      <c r="C14" s="50">
        <f>SUM('S6'!G55+'S7'!G55)</f>
        <v>133100</v>
      </c>
      <c r="D14" s="135">
        <v>4963</v>
      </c>
      <c r="E14" s="135">
        <v>3300</v>
      </c>
      <c r="F14" s="135">
        <v>65799</v>
      </c>
      <c r="G14" s="50">
        <f>SUM('S6'!G56+'S7'!G56)-SUM(D14:F14)</f>
        <v>21338</v>
      </c>
      <c r="H14" s="135">
        <f t="shared" si="0"/>
        <v>95400</v>
      </c>
      <c r="I14" s="50">
        <f t="shared" si="1"/>
        <v>71.675432006010524</v>
      </c>
      <c r="J14" s="52" t="s">
        <v>484</v>
      </c>
      <c r="K14" s="50"/>
      <c r="L14" s="32"/>
      <c r="M14" s="33"/>
    </row>
    <row r="15" spans="1:13" s="228" customFormat="1" ht="19.5" customHeight="1">
      <c r="A15" s="225" t="s">
        <v>30</v>
      </c>
      <c r="B15" s="108">
        <v>3352800</v>
      </c>
      <c r="C15" s="108">
        <f>SUM('S6'!G60+'S7'!G60)</f>
        <v>3152102.5</v>
      </c>
      <c r="D15" s="131">
        <v>491906.2</v>
      </c>
      <c r="E15" s="131">
        <v>807169.5</v>
      </c>
      <c r="F15" s="131">
        <v>497929.6</v>
      </c>
      <c r="G15" s="108">
        <f>SUM('S6'!G61+'S7'!G61)-SUM(D15:F15)</f>
        <v>644328.00000000047</v>
      </c>
      <c r="H15" s="135">
        <f t="shared" si="0"/>
        <v>2441333.3000000003</v>
      </c>
      <c r="I15" s="50">
        <f t="shared" si="1"/>
        <v>77.450949009431014</v>
      </c>
      <c r="J15" s="52" t="s">
        <v>484</v>
      </c>
      <c r="K15" s="108"/>
      <c r="L15" s="226"/>
      <c r="M15" s="227"/>
    </row>
    <row r="16" spans="1:13" ht="19.5" customHeight="1">
      <c r="A16" s="51" t="s">
        <v>31</v>
      </c>
      <c r="B16" s="50">
        <v>9528640</v>
      </c>
      <c r="C16" s="50">
        <f>SUM('S6'!G65+'S7'!G65)</f>
        <v>15584366.5</v>
      </c>
      <c r="D16" s="135">
        <v>1915820.57</v>
      </c>
      <c r="E16" s="135">
        <v>3785850.15</v>
      </c>
      <c r="F16" s="135">
        <v>3959174.98</v>
      </c>
      <c r="G16" s="50">
        <f>SUM('S6'!G66+'S7'!G66)-SUM(D16:F16)</f>
        <v>3391096.9299999997</v>
      </c>
      <c r="H16" s="135">
        <f t="shared" si="0"/>
        <v>13051942.629999999</v>
      </c>
      <c r="I16" s="50">
        <f t="shared" si="1"/>
        <v>83.750228987492036</v>
      </c>
      <c r="J16" s="52" t="s">
        <v>484</v>
      </c>
      <c r="K16" s="50"/>
      <c r="L16" s="32"/>
      <c r="M16" s="33"/>
    </row>
    <row r="17" spans="1:14" ht="19.5" customHeight="1">
      <c r="A17" s="51" t="s">
        <v>32</v>
      </c>
      <c r="B17" s="50">
        <v>1460000</v>
      </c>
      <c r="C17" s="50">
        <f>SUM('S6'!G70+'S7'!G70)</f>
        <v>1500449</v>
      </c>
      <c r="D17" s="135">
        <v>169614.1</v>
      </c>
      <c r="E17" s="135">
        <v>75949.399999999994</v>
      </c>
      <c r="F17" s="135">
        <v>597362.9</v>
      </c>
      <c r="G17" s="50">
        <f>SUM('S6'!G71+'S7'!G71)-SUM(D17:F17)</f>
        <v>462385.95000000007</v>
      </c>
      <c r="H17" s="135">
        <f t="shared" si="0"/>
        <v>1305312.3500000001</v>
      </c>
      <c r="I17" s="50">
        <f t="shared" si="1"/>
        <v>86.994782894986784</v>
      </c>
      <c r="J17" s="52" t="s">
        <v>484</v>
      </c>
      <c r="K17" s="50"/>
      <c r="L17" s="32"/>
      <c r="M17" s="33"/>
    </row>
    <row r="18" spans="1:14" ht="19.5" customHeight="1">
      <c r="A18" s="51" t="s">
        <v>33</v>
      </c>
      <c r="B18" s="108">
        <v>3927800</v>
      </c>
      <c r="C18" s="50">
        <f>SUM('S6'!G75+'S7'!G75)</f>
        <v>3945800</v>
      </c>
      <c r="D18" s="135">
        <v>123430</v>
      </c>
      <c r="E18" s="135">
        <v>532727.1</v>
      </c>
      <c r="F18" s="135">
        <v>625250.9</v>
      </c>
      <c r="G18" s="50">
        <f>SUM('S6'!G76+'S7'!G76)-SUM(D18:F18)</f>
        <v>1603919.5499999998</v>
      </c>
      <c r="H18" s="135">
        <f t="shared" si="0"/>
        <v>2885327.55</v>
      </c>
      <c r="I18" s="50">
        <f t="shared" si="1"/>
        <v>73.124019210299551</v>
      </c>
      <c r="J18" s="52" t="s">
        <v>484</v>
      </c>
      <c r="K18" s="50"/>
      <c r="L18" s="32"/>
      <c r="M18" s="33"/>
    </row>
    <row r="19" spans="1:14" ht="19.5" customHeight="1">
      <c r="A19" s="51" t="s">
        <v>34</v>
      </c>
      <c r="B19" s="50">
        <v>12068000</v>
      </c>
      <c r="C19" s="50">
        <f>SUM('S6'!G80+'S7'!G80)</f>
        <v>11165057</v>
      </c>
      <c r="D19" s="135">
        <v>3069586.25</v>
      </c>
      <c r="E19" s="135">
        <v>1247852.1000000001</v>
      </c>
      <c r="F19" s="135">
        <v>2028862.55</v>
      </c>
      <c r="G19" s="50">
        <f>SUM('S6'!G81+'S7'!G81)-SUM(D19:F19)</f>
        <v>1179176.1400000006</v>
      </c>
      <c r="H19" s="135">
        <f t="shared" si="0"/>
        <v>7525477.04</v>
      </c>
      <c r="I19" s="50">
        <f t="shared" si="1"/>
        <v>67.402047656362157</v>
      </c>
      <c r="J19" s="52" t="s">
        <v>484</v>
      </c>
      <c r="K19" s="50"/>
      <c r="L19" s="32"/>
      <c r="M19" s="33"/>
    </row>
    <row r="20" spans="1:14" ht="19.5" customHeight="1">
      <c r="A20" s="51" t="s">
        <v>35</v>
      </c>
      <c r="B20" s="50">
        <v>3201600</v>
      </c>
      <c r="C20" s="50">
        <f>SUM('S6'!G85+'S7'!G85)</f>
        <v>3272597.74</v>
      </c>
      <c r="D20" s="135">
        <v>1071605.1200000001</v>
      </c>
      <c r="E20" s="135">
        <v>673256.3</v>
      </c>
      <c r="F20" s="135">
        <v>716947.91</v>
      </c>
      <c r="G20" s="50">
        <f>SUM('S6'!G86+'S7'!G86)-SUM(D20:F20)</f>
        <v>637556.95000000019</v>
      </c>
      <c r="H20" s="135">
        <f t="shared" si="0"/>
        <v>3099366.2800000003</v>
      </c>
      <c r="I20" s="50">
        <f t="shared" si="1"/>
        <v>94.706606990445451</v>
      </c>
      <c r="J20" s="52" t="s">
        <v>484</v>
      </c>
      <c r="K20" s="50"/>
      <c r="L20" s="32"/>
      <c r="M20" s="33"/>
    </row>
    <row r="21" spans="1:14" ht="19.5" customHeight="1">
      <c r="A21" s="51" t="s">
        <v>88</v>
      </c>
      <c r="B21" s="50">
        <v>431934700</v>
      </c>
      <c r="C21" s="50">
        <f>SUM('S6'!G90+'S7'!G90)</f>
        <v>477159834.43000007</v>
      </c>
      <c r="D21" s="135">
        <v>88000695.439999998</v>
      </c>
      <c r="E21" s="135">
        <v>103414037.15000001</v>
      </c>
      <c r="F21" s="135">
        <v>128142552.90000001</v>
      </c>
      <c r="G21" s="50">
        <f>SUM('S6'!G91+'S7'!G91)-SUM(D21:F21)</f>
        <v>111567014.60000002</v>
      </c>
      <c r="H21" s="135">
        <f t="shared" si="0"/>
        <v>431124300.09000003</v>
      </c>
      <c r="I21" s="50">
        <f t="shared" si="1"/>
        <v>90.352177400892799</v>
      </c>
      <c r="J21" s="52" t="s">
        <v>484</v>
      </c>
      <c r="K21" s="50"/>
      <c r="L21" s="32"/>
      <c r="M21" s="224"/>
    </row>
    <row r="22" spans="1:14" ht="19.5" customHeight="1">
      <c r="A22" s="51" t="s">
        <v>89</v>
      </c>
      <c r="B22" s="50">
        <v>450000</v>
      </c>
      <c r="C22" s="50">
        <f>SUM('S6'!G95+'S7'!G95)</f>
        <v>450000</v>
      </c>
      <c r="D22" s="135">
        <f>L26</f>
        <v>77700</v>
      </c>
      <c r="E22" s="135">
        <f>M26</f>
        <v>128508</v>
      </c>
      <c r="F22" s="135">
        <v>0</v>
      </c>
      <c r="G22" s="50">
        <f>SUM('S6'!G96+'S7'!G96)-SUM(D22:F22)</f>
        <v>197055</v>
      </c>
      <c r="H22" s="135">
        <f t="shared" si="0"/>
        <v>403263</v>
      </c>
      <c r="I22" s="50">
        <f t="shared" si="1"/>
        <v>89.614000000000004</v>
      </c>
      <c r="J22" s="52" t="s">
        <v>484</v>
      </c>
      <c r="K22" s="50"/>
      <c r="L22" s="32"/>
      <c r="M22" s="33"/>
    </row>
    <row r="23" spans="1:14" ht="19.5" customHeight="1">
      <c r="A23" s="68" t="s">
        <v>276</v>
      </c>
      <c r="B23" s="50">
        <v>1179700</v>
      </c>
      <c r="C23" s="50">
        <f>SUM('S6'!G100+'S7'!G100)</f>
        <v>3416660</v>
      </c>
      <c r="D23" s="135">
        <v>121179.5</v>
      </c>
      <c r="E23" s="135">
        <v>298641.5</v>
      </c>
      <c r="F23" s="135">
        <v>524244</v>
      </c>
      <c r="G23" s="50">
        <f>SUM('S6'!G101+'S7'!G101)-SUM(D23:F23)</f>
        <v>395381.44999999995</v>
      </c>
      <c r="H23" s="135">
        <f t="shared" si="0"/>
        <v>1339446.45</v>
      </c>
      <c r="I23" s="50">
        <f t="shared" si="1"/>
        <v>39.203387226121414</v>
      </c>
      <c r="J23" s="52" t="s">
        <v>484</v>
      </c>
      <c r="K23" s="141"/>
      <c r="L23" s="32"/>
      <c r="M23" s="33"/>
    </row>
    <row r="24" spans="1:14" ht="19.5" customHeight="1">
      <c r="A24" s="390" t="s">
        <v>4</v>
      </c>
      <c r="B24" s="391">
        <f>SUM(B4:B23)</f>
        <v>552831740</v>
      </c>
      <c r="C24" s="391">
        <f>SUM(C4:C23)</f>
        <v>598600377.6400001</v>
      </c>
      <c r="D24" s="391">
        <f>SUM(D4:D23)</f>
        <v>110552264.98999999</v>
      </c>
      <c r="E24" s="391">
        <f>SUM(E4:E23)</f>
        <v>128216824.62</v>
      </c>
      <c r="F24" s="393">
        <v>159601415.91</v>
      </c>
      <c r="G24" s="391">
        <f>SUM(G4:G23)</f>
        <v>140648003.10000002</v>
      </c>
      <c r="H24" s="391">
        <f t="shared" ref="H24" si="2">SUM(H4:H23)</f>
        <v>539018508.62000012</v>
      </c>
      <c r="I24" s="391">
        <f>SUM(H24/C24*100)</f>
        <v>90.046469857753294</v>
      </c>
      <c r="J24" s="392"/>
      <c r="L24" s="32"/>
      <c r="M24" s="33"/>
    </row>
    <row r="26" spans="1:14" ht="19.5" customHeight="1">
      <c r="L26" s="19">
        <v>77700</v>
      </c>
      <c r="M26" s="19">
        <v>128508</v>
      </c>
      <c r="N26" s="19">
        <f>SUM(L26:M26)</f>
        <v>206208</v>
      </c>
    </row>
  </sheetData>
  <mergeCells count="7">
    <mergeCell ref="J2:J3"/>
    <mergeCell ref="A2:A3"/>
    <mergeCell ref="D2:G2"/>
    <mergeCell ref="H2:H3"/>
    <mergeCell ref="I2:I3"/>
    <mergeCell ref="B2:B3"/>
    <mergeCell ref="C2:C3"/>
  </mergeCells>
  <pageMargins left="0.74803149606299213" right="0.31496062992125984" top="0.74803149606299213" bottom="0.74803149606299213" header="0.39370078740157483" footer="0.31496062992125984"/>
  <pageSetup paperSize="9" firstPageNumber="14" orientation="landscape" useFirstPageNumber="1"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24</vt:i4>
      </vt:variant>
      <vt:variant>
        <vt:lpstr>ช่วงที่มีชื่อ</vt:lpstr>
      </vt:variant>
      <vt:variant>
        <vt:i4>15</vt:i4>
      </vt:variant>
    </vt:vector>
  </HeadingPairs>
  <TitlesOfParts>
    <vt:vector size="39" baseType="lpstr">
      <vt:lpstr>ปก</vt:lpstr>
      <vt:lpstr>สารบัญ</vt:lpstr>
      <vt:lpstr>S1</vt:lpstr>
      <vt:lpstr>Sheet3</vt:lpstr>
      <vt:lpstr>S2</vt:lpstr>
      <vt:lpstr>S3</vt:lpstr>
      <vt:lpstr>S3.1</vt:lpstr>
      <vt:lpstr>S4</vt:lpstr>
      <vt:lpstr>S5</vt:lpstr>
      <vt:lpstr>S6</vt:lpstr>
      <vt:lpstr>S7</vt:lpstr>
      <vt:lpstr>S8</vt:lpstr>
      <vt:lpstr>S9</vt:lpstr>
      <vt:lpstr>S10</vt:lpstr>
      <vt:lpstr>S11</vt:lpstr>
      <vt:lpstr>S11 (2)</vt:lpstr>
      <vt:lpstr>Sheet2</vt:lpstr>
      <vt:lpstr>Sheet7</vt:lpstr>
      <vt:lpstr>แผ่นดิน</vt:lpstr>
      <vt:lpstr>รายได้</vt:lpstr>
      <vt:lpstr>ประเด็นแผ่นดิน</vt:lpstr>
      <vt:lpstr>ประเด็นรายได้</vt:lpstr>
      <vt:lpstr>แผ่นดิน_สำรอง</vt:lpstr>
      <vt:lpstr>Sheet1</vt:lpstr>
      <vt:lpstr>'S1'!Print_Area</vt:lpstr>
      <vt:lpstr>'S10'!Print_Area</vt:lpstr>
      <vt:lpstr>'S11'!Print_Area</vt:lpstr>
      <vt:lpstr>'S11 (2)'!Print_Area</vt:lpstr>
      <vt:lpstr>'S2'!Print_Area</vt:lpstr>
      <vt:lpstr>'S3'!Print_Area</vt:lpstr>
      <vt:lpstr>S3.1!Print_Area</vt:lpstr>
      <vt:lpstr>'S4'!Print_Area</vt:lpstr>
      <vt:lpstr>'S6'!Print_Area</vt:lpstr>
      <vt:lpstr>'S7'!Print_Area</vt:lpstr>
      <vt:lpstr>'S10'!Print_Titles</vt:lpstr>
      <vt:lpstr>'S11'!Print_Titles</vt:lpstr>
      <vt:lpstr>'S3'!Print_Titles</vt:lpstr>
      <vt:lpstr>'S6'!Print_Titles</vt:lpstr>
      <vt:lpstr>'S7'!Print_Titles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Document</dc:title>
  <dc:creator>thong_plan</dc:creator>
  <cp:lastModifiedBy>plan01</cp:lastModifiedBy>
  <cp:lastPrinted>2020-04-22T01:21:11Z</cp:lastPrinted>
  <dcterms:created xsi:type="dcterms:W3CDTF">2015-04-27T06:25:12Z</dcterms:created>
  <dcterms:modified xsi:type="dcterms:W3CDTF">2020-04-22T01:47:43Z</dcterms:modified>
</cp:coreProperties>
</file>